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45" windowWidth="19320" windowHeight="12120" tabRatio="887" activeTab="0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'Tabell'!$4:$9</definedName>
    <definedName name="AntallSpill">'Definisjoner'!$D$28</definedName>
    <definedName name="C_I">6</definedName>
    <definedName name="C_V">9</definedName>
    <definedName name="IMP2VP">'Definisjoner'!$S$10:$AC$25</definedName>
    <definedName name="Kamp01">'Kamper'!$A$1:$J$4</definedName>
    <definedName name="Kamp02">'Kamper'!$A$6:$J$9</definedName>
    <definedName name="Kamp03">'Kamper'!$A$11:$J$14</definedName>
    <definedName name="Kamp04">'Kamper'!$A$16:$J$19</definedName>
    <definedName name="Kamp05">'Kamper'!$A$21:$J$24</definedName>
    <definedName name="Kamp06">'Kamper'!$A$26:$J$29</definedName>
    <definedName name="Kamp07">'Kamper'!$A$31:$J$34</definedName>
    <definedName name="Kamp08">'Kamper'!$A$36:$J$39</definedName>
    <definedName name="Kamp09">'Kamper'!$A$41:$J$44</definedName>
    <definedName name="Kamp10">'Kamper'!$A$46:$J$49</definedName>
    <definedName name="Kamp11">'Kamper'!#REF!</definedName>
    <definedName name="KampTab01">'Definisjoner'!$D$11:$I$22</definedName>
    <definedName name="KampTab02">'Definisjoner'!$D$12:$I$22</definedName>
    <definedName name="KampTab03">'Definisjoner'!$D$13:$I$22</definedName>
    <definedName name="KampTab04">'Definisjoner'!$D$14:$I$22</definedName>
    <definedName name="KampTab05">'Definisjoner'!$D$15:$I$22</definedName>
    <definedName name="KampTab06">'Definisjoner'!$D$16:$I$22</definedName>
    <definedName name="KampTab07">'Definisjoner'!$D$17:$I$22</definedName>
    <definedName name="KampTab08">'Definisjoner'!$D$18:$I$22</definedName>
    <definedName name="KampTab09">'Definisjoner'!$D$19:$I$22</definedName>
    <definedName name="KampTab10">'Definisjoner'!$D$20:$I$22</definedName>
    <definedName name="Lag">'Definisjoner'!$A$2:$C$7</definedName>
    <definedName name="Oppsett">'Definisjoner'!$C$11:$I$20</definedName>
    <definedName name="Overskrift_MP">'Definisjoner'!$D$30</definedName>
    <definedName name="Overskrift_Tab">'Definisjoner'!$D$29</definedName>
    <definedName name="Resultater">'Definisjoner'!$A$2:$AG$7</definedName>
    <definedName name="_xlnm.Print_Area" localSheetId="1">'Kamper'!$A$1:$L$49</definedName>
  </definedNames>
  <calcPr fullCalcOnLoad="1"/>
</workbook>
</file>

<file path=xl/sharedStrings.xml><?xml version="1.0" encoding="utf-8"?>
<sst xmlns="http://schemas.openxmlformats.org/spreadsheetml/2006/main" count="323" uniqueCount="131">
  <si>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</si>
  <si>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</si>
  <si>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</si>
  <si>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</si>
  <si>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</si>
  <si>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</si>
  <si>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</si>
  <si>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</si>
  <si>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</si>
  <si>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</si>
  <si>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</si>
  <si>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</si>
  <si>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</si>
  <si>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</si>
  <si>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</si>
  <si>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</si>
  <si>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</si>
  <si>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</si>
  <si>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</si>
  <si>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</si>
  <si>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</si>
  <si>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</si>
  <si>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</si>
  <si>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</si>
  <si>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</si>
  <si>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</si>
  <si>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</si>
  <si>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</si>
  <si>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</si>
  <si>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</si>
  <si>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</si>
  <si>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</si>
  <si>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Kamp 8</t>
  </si>
  <si>
    <t>Kamp 9</t>
  </si>
  <si>
    <t>Kamp 01</t>
  </si>
  <si>
    <t>Kamp 02</t>
  </si>
  <si>
    <t>Kamp 03</t>
  </si>
  <si>
    <t>Kamp 04</t>
  </si>
  <si>
    <t>Kamp 05</t>
  </si>
  <si>
    <t>Kamp 06</t>
  </si>
  <si>
    <t>Kamp 07</t>
  </si>
  <si>
    <t>Kamp 08</t>
  </si>
  <si>
    <t>Kamp 09</t>
  </si>
  <si>
    <t>Kamp 10</t>
  </si>
  <si>
    <t>Registrering av forbundspoeng (2,8 FP til laget for vunnet kamp) og spilte kamper</t>
  </si>
  <si>
    <t>VP-skala</t>
  </si>
  <si>
    <t>spill</t>
  </si>
  <si>
    <t>Antall spill i hver kamp:</t>
  </si>
  <si>
    <t>Overskrift for tabellene:</t>
  </si>
  <si>
    <t>Overskrift for mesterpoengoversikten:</t>
  </si>
  <si>
    <t>10.00 - 11.15</t>
  </si>
  <si>
    <t>11.25 - 12.40</t>
  </si>
  <si>
    <t>12.50 - 14.05</t>
  </si>
  <si>
    <t>14.15 - 15.30</t>
  </si>
  <si>
    <t>16.00 - 17.15</t>
  </si>
  <si>
    <t>17.25 - 18.40</t>
  </si>
  <si>
    <t xml:space="preserve">SM 2006 4. divisjon avdeling </t>
  </si>
  <si>
    <t>Bk Grand 1</t>
  </si>
  <si>
    <t>Natvik</t>
  </si>
  <si>
    <t>Bk Grand 2</t>
  </si>
  <si>
    <t>Sunde</t>
  </si>
  <si>
    <t>Bk Grand 3</t>
  </si>
  <si>
    <t>Tafjord</t>
  </si>
  <si>
    <t>Fosnavåg</t>
  </si>
  <si>
    <t>Langvatn</t>
  </si>
  <si>
    <t>Ulstein</t>
  </si>
  <si>
    <t>Søvikhagen</t>
  </si>
  <si>
    <t>Brattvåg&amp;Søvik</t>
  </si>
  <si>
    <t>Restad</t>
  </si>
  <si>
    <t>Roar</t>
  </si>
  <si>
    <t>Johansen</t>
  </si>
  <si>
    <t>Ze Ying</t>
  </si>
  <si>
    <t>Lam</t>
  </si>
  <si>
    <t>Vidar</t>
  </si>
  <si>
    <t>Eltvik</t>
  </si>
  <si>
    <t>Karl M</t>
  </si>
  <si>
    <t>Hjelvik</t>
  </si>
  <si>
    <t>Rolv</t>
  </si>
  <si>
    <t>Arne</t>
  </si>
  <si>
    <t>Kaaresen</t>
  </si>
  <si>
    <t>Svein</t>
  </si>
  <si>
    <t>Muriaas</t>
  </si>
  <si>
    <t>Terje</t>
  </si>
  <si>
    <t>Alf Inge</t>
  </si>
  <si>
    <t>Hans Petter</t>
  </si>
  <si>
    <t>Vaagsæter</t>
  </si>
  <si>
    <t>Tore</t>
  </si>
  <si>
    <t>Arthur</t>
  </si>
  <si>
    <t>Westbø</t>
  </si>
  <si>
    <t>Morten</t>
  </si>
  <si>
    <t>Rolfsen</t>
  </si>
  <si>
    <t>Jorunn</t>
  </si>
  <si>
    <t>Doran</t>
  </si>
  <si>
    <t>Rogne</t>
  </si>
  <si>
    <t>Øystein</t>
  </si>
  <si>
    <t>Petter</t>
  </si>
  <si>
    <t>Thorleif</t>
  </si>
  <si>
    <t>Hagen</t>
  </si>
  <si>
    <t>Runde 10</t>
  </si>
  <si>
    <t xml:space="preserve">Anja </t>
  </si>
  <si>
    <t>Wold</t>
  </si>
  <si>
    <t>Paul</t>
  </si>
  <si>
    <t>Farstad</t>
  </si>
  <si>
    <t>Arild</t>
  </si>
  <si>
    <t>Furnes</t>
  </si>
  <si>
    <t>Peter</t>
  </si>
  <si>
    <t>Hesseberg</t>
  </si>
  <si>
    <t>Bjørgvin</t>
  </si>
  <si>
    <t>Viglunds</t>
  </si>
  <si>
    <t>Harald</t>
  </si>
  <si>
    <t>Øvereng</t>
  </si>
  <si>
    <t>Oddbjørn</t>
  </si>
  <si>
    <t>Sande</t>
  </si>
  <si>
    <t xml:space="preserve">Karl </t>
  </si>
  <si>
    <t>Monica</t>
  </si>
  <si>
    <t>Austnes</t>
  </si>
  <si>
    <t>13.00.-14.15.</t>
  </si>
  <si>
    <t>14.25.-15.40.</t>
  </si>
  <si>
    <t>Lørdag 30/01-2010</t>
  </si>
  <si>
    <t>Søndag 31/01-2010</t>
  </si>
  <si>
    <t>Runde 6</t>
  </si>
  <si>
    <t>Runde 7</t>
  </si>
  <si>
    <t>Runde 8</t>
  </si>
  <si>
    <t>Runde 9</t>
  </si>
  <si>
    <t>u</t>
  </si>
  <si>
    <t>Kristen</t>
  </si>
  <si>
    <t>Midtlid</t>
  </si>
  <si>
    <t>Kjell</t>
  </si>
  <si>
    <t>Stafset</t>
  </si>
  <si>
    <t>oddleif</t>
  </si>
  <si>
    <t>Olsen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</si>
</sst>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814]d\.\ mmmm\ yyyy"/>
    <numFmt numFmtId="173" formatCode="[$-814]d\.\ mmmm\ yyyy;@"/>
    <numFmt numFmtId="174" formatCode=";;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hh:mm;@"/>
  </numFmts>
  <fonts count="3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b/>
      <sz val="15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sz val="8"/>
      <name val="Times New Roman"/>
      <family val="0"/>
    </font>
    <font>
      <b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2" applyNumberFormat="0" applyFill="0" applyAlignment="0" applyProtection="0"/>
    <xf numFmtId="0" fontId="25" fillId="13" borderId="3" applyNumberFormat="0" applyAlignment="0" applyProtection="0"/>
    <xf numFmtId="0" fontId="0" fillId="4" borderId="4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1" borderId="9" applyNumberFormat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44" applyFont="1" applyBorder="1">
      <alignment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4" fillId="0" borderId="0" xfId="43">
      <alignment/>
      <protection/>
    </xf>
    <xf numFmtId="0" fontId="8" fillId="0" borderId="14" xfId="0" applyFont="1" applyBorder="1" applyAlignment="1" quotePrefix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 quotePrefix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5" xfId="0" applyFont="1" applyBorder="1" applyAlignment="1">
      <alignment/>
    </xf>
    <xf numFmtId="0" fontId="8" fillId="0" borderId="0" xfId="0" applyFont="1" applyAlignment="1" quotePrefix="1">
      <alignment/>
    </xf>
    <xf numFmtId="0" fontId="10" fillId="0" borderId="26" xfId="0" applyFont="1" applyBorder="1" applyAlignment="1">
      <alignment/>
    </xf>
    <xf numFmtId="0" fontId="10" fillId="0" borderId="26" xfId="44" applyFont="1" applyBorder="1">
      <alignment/>
      <protection/>
    </xf>
    <xf numFmtId="0" fontId="12" fillId="0" borderId="26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1" fillId="0" borderId="27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7" xfId="44" applyFont="1" applyBorder="1">
      <alignment/>
      <protection/>
    </xf>
    <xf numFmtId="0" fontId="10" fillId="0" borderId="28" xfId="44" applyFont="1" applyBorder="1">
      <alignment/>
      <protection/>
    </xf>
    <xf numFmtId="0" fontId="12" fillId="0" borderId="29" xfId="0" applyFont="1" applyBorder="1" applyAlignment="1">
      <alignment horizontal="right"/>
    </xf>
    <xf numFmtId="0" fontId="9" fillId="0" borderId="27" xfId="0" applyFont="1" applyBorder="1" applyAlignment="1">
      <alignment/>
    </xf>
    <xf numFmtId="0" fontId="13" fillId="0" borderId="27" xfId="0" applyFont="1" applyBorder="1" applyAlignment="1">
      <alignment/>
    </xf>
    <xf numFmtId="0" fontId="9" fillId="0" borderId="27" xfId="44" applyFont="1" applyBorder="1">
      <alignment/>
      <protection/>
    </xf>
    <xf numFmtId="0" fontId="1" fillId="0" borderId="30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3" fillId="0" borderId="31" xfId="0" applyFont="1" applyBorder="1" applyAlignment="1">
      <alignment horizontal="right"/>
    </xf>
    <xf numFmtId="0" fontId="4" fillId="0" borderId="0" xfId="43" applyFont="1">
      <alignment/>
      <protection/>
    </xf>
    <xf numFmtId="0" fontId="8" fillId="0" borderId="3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0" fontId="8" fillId="0" borderId="16" xfId="0" applyFont="1" applyBorder="1" applyAlignment="1" quotePrefix="1">
      <alignment horizontal="center"/>
    </xf>
    <xf numFmtId="1" fontId="0" fillId="0" borderId="21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9" fillId="0" borderId="34" xfId="0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/>
    </xf>
    <xf numFmtId="0" fontId="12" fillId="0" borderId="21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3" fillId="0" borderId="29" xfId="0" applyFont="1" applyBorder="1" applyAlignment="1">
      <alignment/>
    </xf>
    <xf numFmtId="0" fontId="8" fillId="0" borderId="0" xfId="0" applyFont="1" applyAlignment="1" quotePrefix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2" fontId="0" fillId="0" borderId="18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13" fillId="0" borderId="0" xfId="43" applyFont="1">
      <alignment/>
      <protection/>
    </xf>
    <xf numFmtId="0" fontId="15" fillId="0" borderId="0" xfId="0" applyFont="1" applyAlignment="1">
      <alignment/>
    </xf>
    <xf numFmtId="0" fontId="4" fillId="0" borderId="0" xfId="43" applyAlignment="1">
      <alignment horizontal="center"/>
      <protection/>
    </xf>
    <xf numFmtId="0" fontId="4" fillId="0" borderId="0" xfId="43" applyFont="1" applyAlignment="1">
      <alignment horizontal="center"/>
      <protection/>
    </xf>
    <xf numFmtId="1" fontId="0" fillId="0" borderId="22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38" xfId="0" applyFont="1" applyBorder="1" applyAlignment="1">
      <alignment horizontal="center"/>
    </xf>
    <xf numFmtId="1" fontId="0" fillId="0" borderId="46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1" fontId="0" fillId="0" borderId="46" xfId="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1" fontId="0" fillId="0" borderId="50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9" fillId="0" borderId="31" xfId="44" applyFont="1" applyBorder="1">
      <alignment/>
      <protection/>
    </xf>
    <xf numFmtId="0" fontId="9" fillId="0" borderId="47" xfId="44" applyFont="1" applyBorder="1">
      <alignment/>
      <protection/>
    </xf>
    <xf numFmtId="0" fontId="9" fillId="0" borderId="28" xfId="44" applyFont="1" applyBorder="1">
      <alignment/>
      <protection/>
    </xf>
    <xf numFmtId="0" fontId="9" fillId="0" borderId="28" xfId="0" applyFont="1" applyBorder="1" applyAlignment="1">
      <alignment/>
    </xf>
    <xf numFmtId="0" fontId="9" fillId="0" borderId="51" xfId="44" applyFont="1" applyBorder="1">
      <alignment/>
      <protection/>
    </xf>
    <xf numFmtId="0" fontId="9" fillId="0" borderId="52" xfId="44" applyFont="1" applyBorder="1">
      <alignment/>
      <protection/>
    </xf>
    <xf numFmtId="0" fontId="9" fillId="0" borderId="53" xfId="44" applyFont="1" applyBorder="1">
      <alignment/>
      <protection/>
    </xf>
    <xf numFmtId="0" fontId="9" fillId="0" borderId="54" xfId="44" applyFont="1" applyBorder="1">
      <alignment/>
      <protection/>
    </xf>
    <xf numFmtId="0" fontId="9" fillId="0" borderId="55" xfId="44" applyFont="1" applyBorder="1">
      <alignment/>
      <protection/>
    </xf>
    <xf numFmtId="0" fontId="9" fillId="0" borderId="29" xfId="44" applyFont="1" applyBorder="1">
      <alignment/>
      <protection/>
    </xf>
    <xf numFmtId="0" fontId="9" fillId="0" borderId="56" xfId="44" applyFont="1" applyBorder="1">
      <alignment/>
      <protection/>
    </xf>
    <xf numFmtId="0" fontId="9" fillId="0" borderId="57" xfId="44" applyFont="1" applyBorder="1">
      <alignment/>
      <protection/>
    </xf>
    <xf numFmtId="0" fontId="9" fillId="0" borderId="21" xfId="44" applyFont="1" applyBorder="1">
      <alignment/>
      <protection/>
    </xf>
    <xf numFmtId="0" fontId="9" fillId="0" borderId="48" xfId="44" applyFont="1" applyBorder="1">
      <alignment/>
      <protection/>
    </xf>
    <xf numFmtId="0" fontId="9" fillId="0" borderId="58" xfId="44" applyFont="1" applyBorder="1">
      <alignment/>
      <protection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2" xfId="0" applyFont="1" applyBorder="1" applyAlignment="1">
      <alignment horizontal="centerContinuous"/>
    </xf>
    <xf numFmtId="0" fontId="0" fillId="0" borderId="53" xfId="0" applyFont="1" applyBorder="1" applyAlignment="1">
      <alignment horizontal="centerContinuous"/>
    </xf>
    <xf numFmtId="1" fontId="1" fillId="0" borderId="12" xfId="0" applyNumberFormat="1" applyFont="1" applyBorder="1" applyAlignment="1">
      <alignment/>
    </xf>
    <xf numFmtId="0" fontId="9" fillId="0" borderId="0" xfId="44" applyFont="1" applyBorder="1">
      <alignment/>
      <protection/>
    </xf>
    <xf numFmtId="0" fontId="13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47" xfId="0" applyFont="1" applyBorder="1" applyAlignment="1">
      <alignment/>
    </xf>
    <xf numFmtId="1" fontId="0" fillId="0" borderId="23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9" fillId="0" borderId="59" xfId="44" applyFont="1" applyBorder="1">
      <alignment/>
      <protection/>
    </xf>
    <xf numFmtId="0" fontId="9" fillId="0" borderId="24" xfId="44" applyFont="1" applyBorder="1">
      <alignment/>
      <protection/>
    </xf>
    <xf numFmtId="0" fontId="8" fillId="0" borderId="19" xfId="0" applyFont="1" applyBorder="1" applyAlignment="1">
      <alignment/>
    </xf>
    <xf numFmtId="0" fontId="8" fillId="0" borderId="60" xfId="0" applyFont="1" applyBorder="1" applyAlignment="1">
      <alignment/>
    </xf>
    <xf numFmtId="0" fontId="13" fillId="0" borderId="47" xfId="0" applyFont="1" applyBorder="1" applyAlignment="1">
      <alignment/>
    </xf>
    <xf numFmtId="0" fontId="8" fillId="0" borderId="61" xfId="0" applyFont="1" applyBorder="1" applyAlignment="1">
      <alignment horizontal="center"/>
    </xf>
    <xf numFmtId="0" fontId="13" fillId="0" borderId="0" xfId="43" applyFont="1" applyAlignment="1">
      <alignment horizontal="right"/>
      <protection/>
    </xf>
    <xf numFmtId="0" fontId="4" fillId="0" borderId="0" xfId="43" applyFont="1" applyAlignment="1">
      <alignment horizontal="right"/>
      <protection/>
    </xf>
    <xf numFmtId="0" fontId="8" fillId="0" borderId="32" xfId="0" applyFont="1" applyBorder="1" applyAlignment="1">
      <alignment/>
    </xf>
    <xf numFmtId="0" fontId="8" fillId="0" borderId="62" xfId="0" applyFont="1" applyBorder="1" applyAlignment="1">
      <alignment/>
    </xf>
    <xf numFmtId="0" fontId="0" fillId="0" borderId="63" xfId="0" applyFont="1" applyBorder="1" applyAlignment="1">
      <alignment horizontal="center"/>
    </xf>
    <xf numFmtId="0" fontId="4" fillId="0" borderId="63" xfId="0" applyFont="1" applyBorder="1" applyAlignment="1">
      <alignment/>
    </xf>
    <xf numFmtId="0" fontId="4" fillId="0" borderId="32" xfId="0" applyFont="1" applyBorder="1" applyAlignment="1">
      <alignment/>
    </xf>
    <xf numFmtId="1" fontId="1" fillId="0" borderId="64" xfId="0" applyNumberFormat="1" applyFont="1" applyBorder="1" applyAlignment="1">
      <alignment/>
    </xf>
    <xf numFmtId="0" fontId="10" fillId="0" borderId="24" xfId="44" applyFont="1" applyBorder="1">
      <alignment/>
      <protection/>
    </xf>
    <xf numFmtId="0" fontId="10" fillId="0" borderId="58" xfId="44" applyFont="1" applyBorder="1">
      <alignment/>
      <protection/>
    </xf>
    <xf numFmtId="0" fontId="9" fillId="0" borderId="25" xfId="44" applyFont="1" applyBorder="1">
      <alignment/>
      <protection/>
    </xf>
    <xf numFmtId="0" fontId="4" fillId="0" borderId="65" xfId="43" applyBorder="1">
      <alignment/>
      <protection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5" fillId="0" borderId="24" xfId="0" applyFont="1" applyBorder="1" applyAlignment="1">
      <alignment/>
    </xf>
    <xf numFmtId="0" fontId="0" fillId="0" borderId="24" xfId="0" applyBorder="1" applyAlignment="1">
      <alignment/>
    </xf>
    <xf numFmtId="0" fontId="8" fillId="0" borderId="66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43" applyFont="1" applyAlignment="1">
      <alignment horizontal="left"/>
      <protection/>
    </xf>
    <xf numFmtId="0" fontId="13" fillId="0" borderId="21" xfId="43" applyFont="1" applyBorder="1" applyAlignment="1">
      <alignment horizontal="left"/>
      <protection/>
    </xf>
    <xf numFmtId="0" fontId="4" fillId="0" borderId="66" xfId="43" applyFont="1" applyBorder="1" applyAlignment="1">
      <alignment horizontal="left"/>
      <protection/>
    </xf>
    <xf numFmtId="0" fontId="4" fillId="0" borderId="61" xfId="43" applyBorder="1" applyAlignment="1">
      <alignment horizontal="left"/>
      <protection/>
    </xf>
    <xf numFmtId="0" fontId="4" fillId="0" borderId="67" xfId="43" applyBorder="1" applyAlignment="1">
      <alignment horizontal="left"/>
      <protection/>
    </xf>
    <xf numFmtId="0" fontId="4" fillId="0" borderId="66" xfId="43" applyBorder="1" applyAlignment="1">
      <alignment horizontal="left"/>
      <protection/>
    </xf>
    <xf numFmtId="0" fontId="13" fillId="0" borderId="0" xfId="43" applyFont="1" applyAlignment="1">
      <alignment horizontal="center"/>
      <protection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4Qrecevd" xfId="43"/>
    <cellStyle name="Normal_Oslo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925"/>
          <c:w val="0.9905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Tabell!$C$4:$C$9</c:f>
              <c:strCache>
                <c:ptCount val="6"/>
                <c:pt idx="0">
                  <c:v>Bk Grand 1</c:v>
                </c:pt>
                <c:pt idx="1">
                  <c:v>Bk Grand 2</c:v>
                </c:pt>
                <c:pt idx="2">
                  <c:v>Bk Grand 3</c:v>
                </c:pt>
                <c:pt idx="3">
                  <c:v>Fosnavåg</c:v>
                </c:pt>
                <c:pt idx="4">
                  <c:v>Ulstein</c:v>
                </c:pt>
                <c:pt idx="5">
                  <c:v>Brattvåg&amp;Søvik</c:v>
                </c:pt>
              </c:strCache>
            </c:strRef>
          </c:cat>
          <c:val>
            <c:numRef>
              <c:f>Tabell!$E$4:$E$9</c:f>
              <c:numCache>
                <c:ptCount val="6"/>
                <c:pt idx="0">
                  <c:v>164</c:v>
                </c:pt>
                <c:pt idx="1">
                  <c:v>151</c:v>
                </c:pt>
                <c:pt idx="2">
                  <c:v>108</c:v>
                </c:pt>
                <c:pt idx="3">
                  <c:v>165</c:v>
                </c:pt>
                <c:pt idx="4">
                  <c:v>145</c:v>
                </c:pt>
                <c:pt idx="5">
                  <c:v>159</c:v>
                </c:pt>
              </c:numCache>
            </c:numRef>
          </c:val>
        </c:ser>
        <c:axId val="15948354"/>
        <c:axId val="9317459"/>
      </c:barChart>
      <c:catAx>
        <c:axId val="15948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17459"/>
        <c:crosses val="autoZero"/>
        <c:auto val="0"/>
        <c:lblOffset val="100"/>
        <c:tickLblSkip val="1"/>
        <c:noMultiLvlLbl val="0"/>
      </c:catAx>
      <c:valAx>
        <c:axId val="9317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48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114300</xdr:rowOff>
    </xdr:from>
    <xdr:to>
      <xdr:col>35</xdr:col>
      <xdr:colOff>114300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190500" y="1895475"/>
        <a:ext cx="10220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"/>
  <sheetViews>
    <sheetView tabSelected="1" zoomScalePageLayoutView="0" workbookViewId="0" topLeftCell="A1">
      <selection activeCell="A27" sqref="A27"/>
    </sheetView>
  </sheetViews>
  <sheetFormatPr defaultColWidth="8.83203125" defaultRowHeight="12.75"/>
  <cols>
    <col min="1" max="1" width="3.16015625" style="1" customWidth="1"/>
    <col min="2" max="2" width="4" style="73" customWidth="1"/>
    <col min="3" max="3" width="28" style="1" bestFit="1" customWidth="1"/>
    <col min="4" max="4" width="15.83203125" style="1" bestFit="1" customWidth="1"/>
    <col min="5" max="5" width="4.66015625" style="1" bestFit="1" customWidth="1"/>
    <col min="6" max="6" width="5.33203125" style="1" customWidth="1"/>
    <col min="7" max="7" width="5.5" style="1" customWidth="1"/>
    <col min="8" max="8" width="5.66015625" style="4" bestFit="1" customWidth="1"/>
    <col min="9" max="9" width="3.66015625" style="1" customWidth="1"/>
    <col min="10" max="11" width="4.16015625" style="1" bestFit="1" customWidth="1"/>
    <col min="12" max="12" width="3.66015625" style="1" customWidth="1"/>
    <col min="13" max="14" width="4.16015625" style="1" customWidth="1"/>
    <col min="15" max="15" width="3.66015625" style="1" customWidth="1"/>
    <col min="16" max="16" width="4.5" style="1" customWidth="1"/>
    <col min="17" max="17" width="3.83203125" style="1" customWidth="1"/>
    <col min="18" max="18" width="3.66015625" style="1" customWidth="1"/>
    <col min="19" max="20" width="4.16015625" style="1" customWidth="1"/>
    <col min="21" max="21" width="3.66015625" style="1" customWidth="1"/>
    <col min="22" max="23" width="4.16015625" style="1" customWidth="1"/>
    <col min="24" max="24" width="3.66015625" style="1" customWidth="1"/>
    <col min="25" max="26" width="4.16015625" style="1" customWidth="1"/>
    <col min="27" max="27" width="3.66015625" style="1" customWidth="1"/>
    <col min="28" max="29" width="4.16015625" style="1" customWidth="1"/>
    <col min="30" max="30" width="3.66015625" style="1" customWidth="1"/>
    <col min="31" max="32" width="4.16015625" style="1" customWidth="1"/>
    <col min="33" max="33" width="3.66015625" style="1" customWidth="1"/>
    <col min="34" max="35" width="4.16015625" style="1" customWidth="1"/>
    <col min="36" max="36" width="3.66015625" style="1" customWidth="1"/>
    <col min="37" max="38" width="4.16015625" style="1" customWidth="1"/>
    <col min="39" max="40" width="8.83203125" style="1" customWidth="1"/>
    <col min="41" max="41" width="8" style="1" customWidth="1"/>
    <col min="42" max="16384" width="8.83203125" style="1" customWidth="1"/>
  </cols>
  <sheetData>
    <row r="1" spans="1:38" s="2" customFormat="1" ht="20.25" thickBot="1">
      <c r="A1" s="172" t="str">
        <f>Overskrift_Tab</f>
        <v>SM 2006 4. divisjon avdeling 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2:38" s="3" customFormat="1" ht="12.75">
      <c r="B2" s="169" t="s">
        <v>1</v>
      </c>
      <c r="C2" s="170"/>
      <c r="D2" s="171"/>
      <c r="E2" s="94" t="s">
        <v>0</v>
      </c>
      <c r="F2" s="95"/>
      <c r="G2" s="95"/>
      <c r="H2" s="96"/>
      <c r="I2" s="94" t="str">
        <f>Definisjoner!C11</f>
        <v>Kamp 01</v>
      </c>
      <c r="J2" s="95"/>
      <c r="K2" s="97"/>
      <c r="L2" s="94" t="str">
        <f>Definisjoner!C12</f>
        <v>Kamp 02</v>
      </c>
      <c r="M2" s="95"/>
      <c r="N2" s="97"/>
      <c r="O2" s="94" t="str">
        <f>Definisjoner!C13</f>
        <v>Kamp 03</v>
      </c>
      <c r="P2" s="95"/>
      <c r="Q2" s="97"/>
      <c r="R2" s="94" t="str">
        <f>Definisjoner!C14</f>
        <v>Kamp 04</v>
      </c>
      <c r="S2" s="95"/>
      <c r="T2" s="97"/>
      <c r="U2" s="94" t="str">
        <f>Definisjoner!C15</f>
        <v>Kamp 05</v>
      </c>
      <c r="V2" s="95"/>
      <c r="W2" s="97"/>
      <c r="X2" s="94" t="str">
        <f>Definisjoner!C16</f>
        <v>Kamp 06</v>
      </c>
      <c r="Y2" s="95"/>
      <c r="Z2" s="97"/>
      <c r="AA2" s="94" t="str">
        <f>Definisjoner!C17</f>
        <v>Kamp 07</v>
      </c>
      <c r="AB2" s="95"/>
      <c r="AC2" s="97"/>
      <c r="AD2" s="94" t="str">
        <f>Definisjoner!C18</f>
        <v>Kamp 08</v>
      </c>
      <c r="AE2" s="95"/>
      <c r="AF2" s="97"/>
      <c r="AG2" s="94" t="str">
        <f>Definisjoner!C19</f>
        <v>Kamp 09</v>
      </c>
      <c r="AH2" s="95"/>
      <c r="AI2" s="97"/>
      <c r="AJ2" s="94" t="str">
        <f>Definisjoner!C20</f>
        <v>Kamp 10</v>
      </c>
      <c r="AK2" s="95"/>
      <c r="AL2" s="97"/>
    </row>
    <row r="3" spans="2:38" s="3" customFormat="1" ht="13.5" thickBot="1">
      <c r="B3" s="81" t="s">
        <v>16</v>
      </c>
      <c r="C3" s="62" t="s">
        <v>15</v>
      </c>
      <c r="D3" s="62" t="s">
        <v>17</v>
      </c>
      <c r="E3" s="105" t="s">
        <v>8</v>
      </c>
      <c r="F3" s="141" t="s">
        <v>9</v>
      </c>
      <c r="G3" s="142"/>
      <c r="H3" s="28" t="s">
        <v>10</v>
      </c>
      <c r="I3" s="105" t="s">
        <v>8</v>
      </c>
      <c r="J3" s="103" t="s">
        <v>9</v>
      </c>
      <c r="K3" s="104"/>
      <c r="L3" s="105" t="s">
        <v>8</v>
      </c>
      <c r="M3" s="103" t="s">
        <v>9</v>
      </c>
      <c r="N3" s="104"/>
      <c r="O3" s="105" t="s">
        <v>8</v>
      </c>
      <c r="P3" s="103" t="s">
        <v>9</v>
      </c>
      <c r="Q3" s="104"/>
      <c r="R3" s="105" t="s">
        <v>8</v>
      </c>
      <c r="S3" s="103" t="s">
        <v>9</v>
      </c>
      <c r="T3" s="104"/>
      <c r="U3" s="105" t="s">
        <v>8</v>
      </c>
      <c r="V3" s="103" t="s">
        <v>9</v>
      </c>
      <c r="W3" s="104"/>
      <c r="X3" s="105" t="s">
        <v>8</v>
      </c>
      <c r="Y3" s="103" t="s">
        <v>9</v>
      </c>
      <c r="Z3" s="104"/>
      <c r="AA3" s="105" t="s">
        <v>8</v>
      </c>
      <c r="AB3" s="103" t="s">
        <v>9</v>
      </c>
      <c r="AC3" s="104"/>
      <c r="AD3" s="105" t="s">
        <v>8</v>
      </c>
      <c r="AE3" s="103" t="s">
        <v>9</v>
      </c>
      <c r="AF3" s="104"/>
      <c r="AG3" s="105" t="s">
        <v>8</v>
      </c>
      <c r="AH3" s="103" t="s">
        <v>9</v>
      </c>
      <c r="AI3" s="104"/>
      <c r="AJ3" s="105" t="s">
        <v>8</v>
      </c>
      <c r="AK3" s="103" t="s">
        <v>9</v>
      </c>
      <c r="AL3" s="104"/>
    </row>
    <row r="4" spans="1:38" ht="13.5" thickBot="1">
      <c r="A4" s="1">
        <f aca="true" t="shared" si="0" ref="A4:A9">RANK(E4,E$4:E$9)</f>
        <v>2</v>
      </c>
      <c r="B4" s="82">
        <v>1</v>
      </c>
      <c r="C4" s="85" t="str">
        <f aca="true" t="shared" si="1" ref="C4:C9">VLOOKUP(B4,Lag,2)</f>
        <v>Bk Grand 1</v>
      </c>
      <c r="D4" s="135" t="str">
        <f aca="true" t="shared" si="2" ref="D4:D9">VLOOKUP(B4,Lag,3)</f>
        <v>Natvik</v>
      </c>
      <c r="E4" s="143">
        <f aca="true" t="shared" si="3" ref="E4:G9">SUM(I4,L4,O4,R4,U4,X4,AA4,AD4,AG4,AJ4)</f>
        <v>164</v>
      </c>
      <c r="F4" s="143">
        <f t="shared" si="3"/>
        <v>506</v>
      </c>
      <c r="G4" s="143">
        <f t="shared" si="3"/>
        <v>424</v>
      </c>
      <c r="H4" s="137">
        <f aca="true" t="shared" si="4" ref="H4:H9">IF(G4=0," ",F4/G4)</f>
        <v>1.1933962264150944</v>
      </c>
      <c r="I4" s="106">
        <f aca="true" t="shared" si="5" ref="I4:I9">VLOOKUP($B4,Resultater,4)</f>
        <v>16</v>
      </c>
      <c r="J4" s="114">
        <f aca="true" t="shared" si="6" ref="J4:J9">VLOOKUP($B4,Resultater,5)</f>
        <v>46</v>
      </c>
      <c r="K4" s="115">
        <f aca="true" t="shared" si="7" ref="K4:K9">VLOOKUP($B4,Resultater,6)</f>
        <v>39</v>
      </c>
      <c r="L4" s="116">
        <f aca="true" t="shared" si="8" ref="L4:L9">VLOOKUP($B4,Resultater,7)</f>
        <v>18</v>
      </c>
      <c r="M4" s="117">
        <f aca="true" t="shared" si="9" ref="M4:M9">VLOOKUP($B4,Resultater,8)</f>
        <v>65</v>
      </c>
      <c r="N4" s="118">
        <f aca="true" t="shared" si="10" ref="N4:N9">VLOOKUP($B4,Resultater,9)</f>
        <v>51</v>
      </c>
      <c r="O4" s="116">
        <f aca="true" t="shared" si="11" ref="O4:O9">VLOOKUP($B4,Resultater,10)</f>
        <v>21</v>
      </c>
      <c r="P4" s="117">
        <f aca="true" t="shared" si="12" ref="P4:P9">VLOOKUP($B4,Resultater,11)</f>
        <v>59</v>
      </c>
      <c r="Q4" s="119">
        <f aca="true" t="shared" si="13" ref="Q4:Q9">VLOOKUP($B4,Resultater,12)</f>
        <v>29</v>
      </c>
      <c r="R4" s="116">
        <f aca="true" t="shared" si="14" ref="R4:R9">VLOOKUP($B4,Resultater,13)</f>
        <v>11</v>
      </c>
      <c r="S4" s="117">
        <f aca="true" t="shared" si="15" ref="S4:S9">VLOOKUP($B4,Resultater,14)</f>
        <v>48</v>
      </c>
      <c r="T4" s="119">
        <f aca="true" t="shared" si="16" ref="T4:T9">VLOOKUP($B4,Resultater,15)</f>
        <v>69</v>
      </c>
      <c r="U4" s="116">
        <f aca="true" t="shared" si="17" ref="U4:U9">VLOOKUP($B4,Resultater,16)</f>
        <v>7</v>
      </c>
      <c r="V4" s="117">
        <f aca="true" t="shared" si="18" ref="V4:V9">VLOOKUP($B4,Resultater,17)</f>
        <v>28</v>
      </c>
      <c r="W4" s="119">
        <f aca="true" t="shared" si="19" ref="W4:W9">VLOOKUP($B4,Resultater,18)</f>
        <v>66</v>
      </c>
      <c r="X4" s="150">
        <f aca="true" t="shared" si="20" ref="X4:X9">VLOOKUP($B4,Resultater,19)</f>
        <v>18</v>
      </c>
      <c r="Y4" s="117">
        <f aca="true" t="shared" si="21" ref="Y4:Y9">VLOOKUP($B4,Resultater,20)</f>
        <v>54</v>
      </c>
      <c r="Z4" s="119">
        <f aca="true" t="shared" si="22" ref="Z4:Z9">VLOOKUP($B4,Resultater,21)</f>
        <v>39</v>
      </c>
      <c r="AA4" s="116">
        <f aca="true" t="shared" si="23" ref="AA4:AA9">VLOOKUP($B4,Resultater,22)</f>
        <v>8</v>
      </c>
      <c r="AB4" s="117">
        <f aca="true" t="shared" si="24" ref="AB4:AB9">VLOOKUP($B4,Resultater,23)</f>
        <v>26</v>
      </c>
      <c r="AC4" s="119">
        <f aca="true" t="shared" si="25" ref="AC4:AC9">VLOOKUP($B4,Resultater,24)</f>
        <v>58</v>
      </c>
      <c r="AD4" s="150">
        <f aca="true" t="shared" si="26" ref="AD4:AD9">VLOOKUP($B4,Resultater,25)</f>
        <v>19</v>
      </c>
      <c r="AE4" s="117">
        <f aca="true" t="shared" si="27" ref="AE4:AE9">VLOOKUP($B4,Resultater,26)</f>
        <v>52</v>
      </c>
      <c r="AF4" s="119">
        <f aca="true" t="shared" si="28" ref="AF4:AF9">VLOOKUP($B4,Resultater,27)</f>
        <v>33</v>
      </c>
      <c r="AG4" s="116">
        <f aca="true" t="shared" si="29" ref="AG4:AG9">VLOOKUP($B4,Resultater,28)</f>
        <v>25</v>
      </c>
      <c r="AH4" s="117">
        <f aca="true" t="shared" si="30" ref="AH4:AH9">VLOOKUP($B4,Resultater,29)</f>
        <v>85</v>
      </c>
      <c r="AI4" s="119">
        <f aca="true" t="shared" si="31" ref="AI4:AI9">VLOOKUP($B4,Resultater,30)</f>
        <v>27</v>
      </c>
      <c r="AJ4" s="150">
        <f aca="true" t="shared" si="32" ref="AJ4:AJ9">VLOOKUP($B4,Resultater,31)</f>
        <v>21</v>
      </c>
      <c r="AK4" s="117">
        <f aca="true" t="shared" si="33" ref="AK4:AK9">VLOOKUP($B4,Resultater,32)</f>
        <v>43</v>
      </c>
      <c r="AL4" s="119">
        <f aca="true" t="shared" si="34" ref="AL4:AL9">VLOOKUP($B4,Resultater,33)</f>
        <v>13</v>
      </c>
    </row>
    <row r="5" spans="1:38" ht="13.5" thickBot="1">
      <c r="A5" s="1">
        <f t="shared" si="0"/>
        <v>4</v>
      </c>
      <c r="B5" s="84">
        <v>2</v>
      </c>
      <c r="C5" s="86" t="str">
        <f t="shared" si="1"/>
        <v>Bk Grand 2</v>
      </c>
      <c r="D5" s="136" t="str">
        <f t="shared" si="2"/>
        <v>Sunde</v>
      </c>
      <c r="E5" s="143">
        <f t="shared" si="3"/>
        <v>151</v>
      </c>
      <c r="F5" s="143">
        <f t="shared" si="3"/>
        <v>533</v>
      </c>
      <c r="G5" s="143">
        <f t="shared" si="3"/>
        <v>513</v>
      </c>
      <c r="H5" s="138">
        <f t="shared" si="4"/>
        <v>1.0389863547758285</v>
      </c>
      <c r="I5" s="102">
        <f t="shared" si="5"/>
        <v>22</v>
      </c>
      <c r="J5" s="110">
        <f t="shared" si="6"/>
        <v>84</v>
      </c>
      <c r="K5" s="39">
        <f t="shared" si="7"/>
        <v>52</v>
      </c>
      <c r="L5" s="107">
        <f t="shared" si="8"/>
        <v>12</v>
      </c>
      <c r="M5" s="112">
        <f t="shared" si="9"/>
        <v>51</v>
      </c>
      <c r="N5" s="71">
        <f t="shared" si="10"/>
        <v>65</v>
      </c>
      <c r="O5" s="107">
        <f t="shared" si="11"/>
        <v>3</v>
      </c>
      <c r="P5" s="112">
        <f t="shared" si="12"/>
        <v>30</v>
      </c>
      <c r="Q5" s="41">
        <f t="shared" si="13"/>
        <v>93</v>
      </c>
      <c r="R5" s="107">
        <f t="shared" si="14"/>
        <v>22</v>
      </c>
      <c r="S5" s="112">
        <f t="shared" si="15"/>
        <v>57</v>
      </c>
      <c r="T5" s="41">
        <f t="shared" si="16"/>
        <v>22</v>
      </c>
      <c r="U5" s="107">
        <f t="shared" si="17"/>
        <v>4</v>
      </c>
      <c r="V5" s="112">
        <f t="shared" si="18"/>
        <v>19</v>
      </c>
      <c r="W5" s="41">
        <f t="shared" si="19"/>
        <v>75</v>
      </c>
      <c r="X5" s="107">
        <f t="shared" si="20"/>
        <v>11</v>
      </c>
      <c r="Y5" s="112">
        <f t="shared" si="21"/>
        <v>47</v>
      </c>
      <c r="Z5" s="41">
        <f t="shared" si="22"/>
        <v>68</v>
      </c>
      <c r="AA5" s="107">
        <f t="shared" si="23"/>
        <v>22</v>
      </c>
      <c r="AB5" s="112">
        <f t="shared" si="24"/>
        <v>58</v>
      </c>
      <c r="AC5" s="41">
        <f t="shared" si="25"/>
        <v>26</v>
      </c>
      <c r="AD5" s="107">
        <f t="shared" si="26"/>
        <v>15</v>
      </c>
      <c r="AE5" s="112">
        <f t="shared" si="27"/>
        <v>48</v>
      </c>
      <c r="AF5" s="41">
        <f t="shared" si="28"/>
        <v>46</v>
      </c>
      <c r="AG5" s="107">
        <f t="shared" si="29"/>
        <v>25</v>
      </c>
      <c r="AH5" s="112">
        <f t="shared" si="30"/>
        <v>96</v>
      </c>
      <c r="AI5" s="41">
        <f t="shared" si="31"/>
        <v>21</v>
      </c>
      <c r="AJ5" s="107">
        <f t="shared" si="32"/>
        <v>15</v>
      </c>
      <c r="AK5" s="112">
        <f t="shared" si="33"/>
        <v>43</v>
      </c>
      <c r="AL5" s="41">
        <f t="shared" si="34"/>
        <v>45</v>
      </c>
    </row>
    <row r="6" spans="1:38" ht="13.5" thickBot="1">
      <c r="A6" s="1">
        <f t="shared" si="0"/>
        <v>6</v>
      </c>
      <c r="B6" s="84">
        <v>3</v>
      </c>
      <c r="C6" s="86" t="str">
        <f t="shared" si="1"/>
        <v>Bk Grand 3</v>
      </c>
      <c r="D6" s="136" t="str">
        <f t="shared" si="2"/>
        <v>Tafjord</v>
      </c>
      <c r="E6" s="143">
        <f t="shared" si="3"/>
        <v>108</v>
      </c>
      <c r="F6" s="143">
        <f t="shared" si="3"/>
        <v>389</v>
      </c>
      <c r="G6" s="143">
        <f t="shared" si="3"/>
        <v>601</v>
      </c>
      <c r="H6" s="138">
        <f t="shared" si="4"/>
        <v>0.6472545757071547</v>
      </c>
      <c r="I6" s="102">
        <f t="shared" si="5"/>
        <v>17</v>
      </c>
      <c r="J6" s="110">
        <f t="shared" si="6"/>
        <v>61</v>
      </c>
      <c r="K6" s="39">
        <f t="shared" si="7"/>
        <v>52</v>
      </c>
      <c r="L6" s="107">
        <f t="shared" si="8"/>
        <v>13</v>
      </c>
      <c r="M6" s="112">
        <f t="shared" si="9"/>
        <v>57</v>
      </c>
      <c r="N6" s="71">
        <f t="shared" si="10"/>
        <v>68</v>
      </c>
      <c r="O6" s="107">
        <f t="shared" si="11"/>
        <v>9</v>
      </c>
      <c r="P6" s="112">
        <f t="shared" si="12"/>
        <v>29</v>
      </c>
      <c r="Q6" s="41">
        <f t="shared" si="13"/>
        <v>59</v>
      </c>
      <c r="R6" s="107">
        <f t="shared" si="14"/>
        <v>8</v>
      </c>
      <c r="S6" s="112">
        <f t="shared" si="15"/>
        <v>22</v>
      </c>
      <c r="T6" s="41">
        <f t="shared" si="16"/>
        <v>57</v>
      </c>
      <c r="U6" s="107">
        <f t="shared" si="17"/>
        <v>14</v>
      </c>
      <c r="V6" s="112">
        <f t="shared" si="18"/>
        <v>37</v>
      </c>
      <c r="W6" s="41">
        <f t="shared" si="19"/>
        <v>40</v>
      </c>
      <c r="X6" s="107">
        <f t="shared" si="20"/>
        <v>15</v>
      </c>
      <c r="Y6" s="112">
        <f t="shared" si="21"/>
        <v>63</v>
      </c>
      <c r="Z6" s="41">
        <f t="shared" si="22"/>
        <v>65</v>
      </c>
      <c r="AA6" s="108">
        <f t="shared" si="23"/>
        <v>10</v>
      </c>
      <c r="AB6" s="112">
        <f t="shared" si="24"/>
        <v>46</v>
      </c>
      <c r="AC6" s="41">
        <f t="shared" si="25"/>
        <v>68</v>
      </c>
      <c r="AD6" s="107">
        <f t="shared" si="26"/>
        <v>11</v>
      </c>
      <c r="AE6" s="112">
        <f t="shared" si="27"/>
        <v>33</v>
      </c>
      <c r="AF6" s="41">
        <f t="shared" si="28"/>
        <v>52</v>
      </c>
      <c r="AG6" s="108">
        <f t="shared" si="29"/>
        <v>1</v>
      </c>
      <c r="AH6" s="112">
        <f t="shared" si="30"/>
        <v>21</v>
      </c>
      <c r="AI6" s="41">
        <f t="shared" si="31"/>
        <v>96</v>
      </c>
      <c r="AJ6" s="107">
        <f t="shared" si="32"/>
        <v>10</v>
      </c>
      <c r="AK6" s="112">
        <f t="shared" si="33"/>
        <v>20</v>
      </c>
      <c r="AL6" s="41">
        <f t="shared" si="34"/>
        <v>44</v>
      </c>
    </row>
    <row r="7" spans="1:38" ht="13.5" thickBot="1">
      <c r="A7" s="1">
        <f t="shared" si="0"/>
        <v>1</v>
      </c>
      <c r="B7" s="83">
        <v>4</v>
      </c>
      <c r="C7" s="86" t="str">
        <f t="shared" si="1"/>
        <v>Fosnavåg</v>
      </c>
      <c r="D7" s="136" t="str">
        <f t="shared" si="2"/>
        <v>Langvatn</v>
      </c>
      <c r="E7" s="143">
        <f t="shared" si="3"/>
        <v>165</v>
      </c>
      <c r="F7" s="143">
        <f t="shared" si="3"/>
        <v>532</v>
      </c>
      <c r="G7" s="143">
        <f t="shared" si="3"/>
        <v>446</v>
      </c>
      <c r="H7" s="139">
        <f t="shared" si="4"/>
        <v>1.1928251121076232</v>
      </c>
      <c r="I7" s="102">
        <f t="shared" si="5"/>
        <v>13</v>
      </c>
      <c r="J7" s="110">
        <f t="shared" si="6"/>
        <v>52</v>
      </c>
      <c r="K7" s="39">
        <f t="shared" si="7"/>
        <v>61</v>
      </c>
      <c r="L7" s="108">
        <f t="shared" si="8"/>
        <v>16</v>
      </c>
      <c r="M7" s="112">
        <f t="shared" si="9"/>
        <v>58</v>
      </c>
      <c r="N7" s="71">
        <f t="shared" si="10"/>
        <v>50</v>
      </c>
      <c r="O7" s="107">
        <f t="shared" si="11"/>
        <v>15</v>
      </c>
      <c r="P7" s="112">
        <f t="shared" si="12"/>
        <v>31</v>
      </c>
      <c r="Q7" s="41">
        <f t="shared" si="13"/>
        <v>31</v>
      </c>
      <c r="R7" s="107">
        <f t="shared" si="14"/>
        <v>19</v>
      </c>
      <c r="S7" s="112">
        <f t="shared" si="15"/>
        <v>69</v>
      </c>
      <c r="T7" s="41">
        <f t="shared" si="16"/>
        <v>48</v>
      </c>
      <c r="U7" s="107">
        <f t="shared" si="17"/>
        <v>25</v>
      </c>
      <c r="V7" s="112">
        <f t="shared" si="18"/>
        <v>75</v>
      </c>
      <c r="W7" s="41">
        <f t="shared" si="19"/>
        <v>19</v>
      </c>
      <c r="X7" s="107">
        <f t="shared" si="20"/>
        <v>15</v>
      </c>
      <c r="Y7" s="112">
        <f t="shared" si="21"/>
        <v>65</v>
      </c>
      <c r="Z7" s="41">
        <f t="shared" si="22"/>
        <v>63</v>
      </c>
      <c r="AA7" s="107">
        <f t="shared" si="23"/>
        <v>25</v>
      </c>
      <c r="AB7" s="112">
        <f t="shared" si="24"/>
        <v>62</v>
      </c>
      <c r="AC7" s="41">
        <f t="shared" si="25"/>
        <v>14</v>
      </c>
      <c r="AD7" s="107">
        <f t="shared" si="26"/>
        <v>18</v>
      </c>
      <c r="AE7" s="112">
        <f t="shared" si="27"/>
        <v>48</v>
      </c>
      <c r="AF7" s="41">
        <f t="shared" si="28"/>
        <v>32</v>
      </c>
      <c r="AG7" s="107">
        <f t="shared" si="29"/>
        <v>4</v>
      </c>
      <c r="AH7" s="112">
        <f t="shared" si="30"/>
        <v>27</v>
      </c>
      <c r="AI7" s="41">
        <f t="shared" si="31"/>
        <v>85</v>
      </c>
      <c r="AJ7" s="107">
        <f t="shared" si="32"/>
        <v>15</v>
      </c>
      <c r="AK7" s="112">
        <f t="shared" si="33"/>
        <v>45</v>
      </c>
      <c r="AL7" s="41">
        <f t="shared" si="34"/>
        <v>43</v>
      </c>
    </row>
    <row r="8" spans="1:38" ht="13.5" thickBot="1">
      <c r="A8" s="1">
        <f t="shared" si="0"/>
        <v>5</v>
      </c>
      <c r="B8" s="83">
        <v>5</v>
      </c>
      <c r="C8" s="86" t="str">
        <f t="shared" si="1"/>
        <v>Ulstein</v>
      </c>
      <c r="D8" s="136" t="str">
        <f t="shared" si="2"/>
        <v>Søvikhagen</v>
      </c>
      <c r="E8" s="143">
        <f t="shared" si="3"/>
        <v>145</v>
      </c>
      <c r="F8" s="143">
        <f t="shared" si="3"/>
        <v>467</v>
      </c>
      <c r="G8" s="143">
        <f t="shared" si="3"/>
        <v>494</v>
      </c>
      <c r="H8" s="139">
        <f t="shared" si="4"/>
        <v>0.9453441295546559</v>
      </c>
      <c r="I8" s="102">
        <f t="shared" si="5"/>
        <v>8</v>
      </c>
      <c r="J8" s="110">
        <f t="shared" si="6"/>
        <v>52</v>
      </c>
      <c r="K8" s="39">
        <f t="shared" si="7"/>
        <v>84</v>
      </c>
      <c r="L8" s="107">
        <f t="shared" si="8"/>
        <v>17</v>
      </c>
      <c r="M8" s="112">
        <f t="shared" si="9"/>
        <v>68</v>
      </c>
      <c r="N8" s="71">
        <f t="shared" si="10"/>
        <v>57</v>
      </c>
      <c r="O8" s="107">
        <f t="shared" si="11"/>
        <v>15</v>
      </c>
      <c r="P8" s="112">
        <f t="shared" si="12"/>
        <v>31</v>
      </c>
      <c r="Q8" s="41">
        <f t="shared" si="13"/>
        <v>31</v>
      </c>
      <c r="R8" s="107">
        <f t="shared" si="14"/>
        <v>6</v>
      </c>
      <c r="S8" s="112">
        <f t="shared" si="15"/>
        <v>32</v>
      </c>
      <c r="T8" s="41">
        <f t="shared" si="16"/>
        <v>76</v>
      </c>
      <c r="U8" s="107">
        <f t="shared" si="17"/>
        <v>23</v>
      </c>
      <c r="V8" s="112">
        <f t="shared" si="18"/>
        <v>66</v>
      </c>
      <c r="W8" s="41">
        <f t="shared" si="19"/>
        <v>28</v>
      </c>
      <c r="X8" s="107">
        <f t="shared" si="20"/>
        <v>19</v>
      </c>
      <c r="Y8" s="112">
        <f t="shared" si="21"/>
        <v>68</v>
      </c>
      <c r="Z8" s="41">
        <f t="shared" si="22"/>
        <v>47</v>
      </c>
      <c r="AA8" s="108">
        <f t="shared" si="23"/>
        <v>20</v>
      </c>
      <c r="AB8" s="112">
        <f t="shared" si="24"/>
        <v>68</v>
      </c>
      <c r="AC8" s="41">
        <f t="shared" si="25"/>
        <v>46</v>
      </c>
      <c r="AD8" s="107">
        <f t="shared" si="26"/>
        <v>12</v>
      </c>
      <c r="AE8" s="112">
        <f t="shared" si="27"/>
        <v>32</v>
      </c>
      <c r="AF8" s="41">
        <f t="shared" si="28"/>
        <v>48</v>
      </c>
      <c r="AG8" s="108">
        <f t="shared" si="29"/>
        <v>16</v>
      </c>
      <c r="AH8" s="112">
        <f t="shared" si="30"/>
        <v>37</v>
      </c>
      <c r="AI8" s="41">
        <f t="shared" si="31"/>
        <v>34</v>
      </c>
      <c r="AJ8" s="107">
        <f t="shared" si="32"/>
        <v>9</v>
      </c>
      <c r="AK8" s="112">
        <f t="shared" si="33"/>
        <v>13</v>
      </c>
      <c r="AL8" s="41">
        <f t="shared" si="34"/>
        <v>43</v>
      </c>
    </row>
    <row r="9" spans="1:38" ht="13.5" thickBot="1">
      <c r="A9" s="1">
        <f t="shared" si="0"/>
        <v>3</v>
      </c>
      <c r="B9" s="161">
        <v>7</v>
      </c>
      <c r="C9" s="162" t="str">
        <f t="shared" si="1"/>
        <v>Brattvåg&amp;Søvik</v>
      </c>
      <c r="D9" s="163" t="str">
        <f t="shared" si="2"/>
        <v>Restad</v>
      </c>
      <c r="E9" s="164">
        <f t="shared" si="3"/>
        <v>159</v>
      </c>
      <c r="F9" s="164">
        <f t="shared" si="3"/>
        <v>475</v>
      </c>
      <c r="G9" s="164">
        <f t="shared" si="3"/>
        <v>424</v>
      </c>
      <c r="H9" s="140">
        <f t="shared" si="4"/>
        <v>1.1202830188679245</v>
      </c>
      <c r="I9" s="148">
        <f t="shared" si="5"/>
        <v>14</v>
      </c>
      <c r="J9" s="111">
        <f t="shared" si="6"/>
        <v>39</v>
      </c>
      <c r="K9" s="42">
        <f t="shared" si="7"/>
        <v>46</v>
      </c>
      <c r="L9" s="109">
        <f t="shared" si="8"/>
        <v>14</v>
      </c>
      <c r="M9" s="113">
        <f t="shared" si="9"/>
        <v>50</v>
      </c>
      <c r="N9" s="72">
        <f t="shared" si="10"/>
        <v>58</v>
      </c>
      <c r="O9" s="109">
        <f t="shared" si="11"/>
        <v>25</v>
      </c>
      <c r="P9" s="113">
        <f t="shared" si="12"/>
        <v>93</v>
      </c>
      <c r="Q9" s="40">
        <f t="shared" si="13"/>
        <v>30</v>
      </c>
      <c r="R9" s="109">
        <f t="shared" si="14"/>
        <v>24</v>
      </c>
      <c r="S9" s="113">
        <f t="shared" si="15"/>
        <v>76</v>
      </c>
      <c r="T9" s="40">
        <f t="shared" si="16"/>
        <v>32</v>
      </c>
      <c r="U9" s="109">
        <f t="shared" si="17"/>
        <v>16</v>
      </c>
      <c r="V9" s="113">
        <f t="shared" si="18"/>
        <v>40</v>
      </c>
      <c r="W9" s="40">
        <f t="shared" si="19"/>
        <v>37</v>
      </c>
      <c r="X9" s="149">
        <f t="shared" si="20"/>
        <v>12</v>
      </c>
      <c r="Y9" s="113">
        <f t="shared" si="21"/>
        <v>39</v>
      </c>
      <c r="Z9" s="40">
        <f t="shared" si="22"/>
        <v>54</v>
      </c>
      <c r="AA9" s="109">
        <f t="shared" si="23"/>
        <v>5</v>
      </c>
      <c r="AB9" s="113">
        <f t="shared" si="24"/>
        <v>14</v>
      </c>
      <c r="AC9" s="40">
        <f t="shared" si="25"/>
        <v>62</v>
      </c>
      <c r="AD9" s="149">
        <f t="shared" si="26"/>
        <v>15</v>
      </c>
      <c r="AE9" s="113">
        <f t="shared" si="27"/>
        <v>46</v>
      </c>
      <c r="AF9" s="40">
        <f t="shared" si="28"/>
        <v>48</v>
      </c>
      <c r="AG9" s="109">
        <f t="shared" si="29"/>
        <v>14</v>
      </c>
      <c r="AH9" s="113">
        <f t="shared" si="30"/>
        <v>34</v>
      </c>
      <c r="AI9" s="40">
        <f t="shared" si="31"/>
        <v>37</v>
      </c>
      <c r="AJ9" s="149">
        <f t="shared" si="32"/>
        <v>20</v>
      </c>
      <c r="AK9" s="113">
        <f t="shared" si="33"/>
        <v>44</v>
      </c>
      <c r="AL9" s="40">
        <f t="shared" si="34"/>
        <v>20</v>
      </c>
    </row>
  </sheetData>
  <sheetProtection/>
  <mergeCells count="2">
    <mergeCell ref="B2:D2"/>
    <mergeCell ref="A1:AL1"/>
  </mergeCells>
  <printOptions/>
  <pageMargins left="0.75" right="0.75" top="0.72" bottom="0.69" header="0.5" footer="0.26"/>
  <pageSetup fitToHeight="1" fitToWidth="1" horizontalDpi="600" verticalDpi="600" orientation="landscape" paperSize="9" scale="75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="75" zoomScaleNormal="75" zoomScalePageLayoutView="0" workbookViewId="0" topLeftCell="A19">
      <selection activeCell="L44" sqref="L44"/>
    </sheetView>
  </sheetViews>
  <sheetFormatPr defaultColWidth="9.33203125" defaultRowHeight="15" customHeight="1"/>
  <cols>
    <col min="1" max="1" width="3.83203125" style="5" customWidth="1"/>
    <col min="2" max="2" width="36" style="5" bestFit="1" customWidth="1"/>
    <col min="3" max="3" width="2.33203125" style="5" bestFit="1" customWidth="1"/>
    <col min="4" max="4" width="36" style="5" bestFit="1" customWidth="1"/>
    <col min="5" max="5" width="5.83203125" style="5" customWidth="1"/>
    <col min="6" max="6" width="4.66015625" style="5" bestFit="1" customWidth="1"/>
    <col min="7" max="8" width="5.83203125" style="5" customWidth="1"/>
    <col min="9" max="9" width="4.66015625" style="5" bestFit="1" customWidth="1"/>
    <col min="10" max="10" width="5.83203125" style="5" customWidth="1"/>
    <col min="11" max="11" width="9" style="5" customWidth="1"/>
    <col min="12" max="12" width="13.16015625" style="5" bestFit="1" customWidth="1"/>
    <col min="13" max="13" width="5.66015625" style="5" customWidth="1"/>
    <col min="14" max="14" width="6.16015625" style="5" customWidth="1"/>
    <col min="15" max="15" width="2.83203125" style="5" customWidth="1"/>
    <col min="16" max="16" width="6.16015625" style="5" bestFit="1" customWidth="1"/>
    <col min="17" max="17" width="3.33203125" style="5" customWidth="1"/>
    <col min="18" max="18" width="4.83203125" style="5" customWidth="1"/>
    <col min="19" max="19" width="2.83203125" style="5" customWidth="1"/>
    <col min="20" max="20" width="4.83203125" style="5" customWidth="1"/>
    <col min="21" max="16384" width="9.33203125" style="5" customWidth="1"/>
  </cols>
  <sheetData>
    <row r="1" spans="1:12" ht="15" customHeight="1" thickBot="1">
      <c r="A1" s="175" t="str">
        <f>Definisjoner!C11</f>
        <v>Kamp 01</v>
      </c>
      <c r="B1" s="176"/>
      <c r="C1" s="176"/>
      <c r="D1" s="176"/>
      <c r="E1" s="173" t="s">
        <v>9</v>
      </c>
      <c r="F1" s="173"/>
      <c r="G1" s="173"/>
      <c r="H1" s="174" t="s">
        <v>8</v>
      </c>
      <c r="I1" s="174"/>
      <c r="J1" s="174"/>
      <c r="K1" s="174" t="s">
        <v>18</v>
      </c>
      <c r="L1" s="174"/>
    </row>
    <row r="2" spans="1:10" ht="15" customHeight="1">
      <c r="A2" s="9">
        <v>1</v>
      </c>
      <c r="B2" s="10" t="str">
        <f>VLOOKUP(VLOOKUP(A1,Oppsett,2),Lag,2)</f>
        <v>Ulstein</v>
      </c>
      <c r="C2" s="11" t="s">
        <v>11</v>
      </c>
      <c r="D2" s="10" t="str">
        <f>VLOOKUP(VLOOKUP(A1,Oppsett,3),Lag,2)</f>
        <v>Bk Grand 2</v>
      </c>
      <c r="E2" s="14">
        <v>52</v>
      </c>
      <c r="F2" s="15" t="s">
        <v>11</v>
      </c>
      <c r="G2" s="16">
        <v>84</v>
      </c>
      <c r="H2" s="17">
        <v>8</v>
      </c>
      <c r="I2" s="30" t="s">
        <v>11</v>
      </c>
      <c r="J2" s="16">
        <v>22</v>
      </c>
    </row>
    <row r="3" spans="1:10" ht="15" customHeight="1">
      <c r="A3" s="153">
        <v>2</v>
      </c>
      <c r="B3" s="6" t="str">
        <f>VLOOKUP(VLOOKUP(A1,Oppsett,4),Lag,2)</f>
        <v>Bk Grand 3</v>
      </c>
      <c r="C3" s="154" t="s">
        <v>11</v>
      </c>
      <c r="D3" s="7" t="str">
        <f>VLOOKUP(VLOOKUP(A1,Oppsett,5),Lag,2)</f>
        <v>Fosnavåg</v>
      </c>
      <c r="E3" s="18">
        <v>61</v>
      </c>
      <c r="F3" s="19" t="s">
        <v>11</v>
      </c>
      <c r="G3" s="20">
        <v>52</v>
      </c>
      <c r="H3" s="21">
        <v>17</v>
      </c>
      <c r="I3" s="31" t="s">
        <v>11</v>
      </c>
      <c r="J3" s="20">
        <v>13</v>
      </c>
    </row>
    <row r="4" spans="1:10" ht="15" customHeight="1" thickBot="1">
      <c r="A4" s="159">
        <v>3</v>
      </c>
      <c r="B4" s="12" t="str">
        <f>VLOOKUP(VLOOKUP(A1,Oppsett,6),Lag,2)</f>
        <v>Bk Grand 1</v>
      </c>
      <c r="C4" s="160" t="s">
        <v>11</v>
      </c>
      <c r="D4" s="13" t="str">
        <f>VLOOKUP(VLOOKUP(A1,Oppsett,7),Lag,2)</f>
        <v>Brattvåg&amp;Søvik</v>
      </c>
      <c r="E4" s="66">
        <v>46</v>
      </c>
      <c r="F4" s="67" t="s">
        <v>11</v>
      </c>
      <c r="G4" s="68">
        <v>39</v>
      </c>
      <c r="H4" s="69">
        <v>16</v>
      </c>
      <c r="I4" s="70" t="s">
        <v>11</v>
      </c>
      <c r="J4" s="68">
        <v>14</v>
      </c>
    </row>
    <row r="5" spans="1:20" ht="15" customHeight="1" thickBot="1">
      <c r="A5" s="8"/>
      <c r="B5" s="8"/>
      <c r="C5" s="8"/>
      <c r="D5" s="8"/>
      <c r="E5" s="8"/>
      <c r="F5" s="8"/>
      <c r="G5" s="8"/>
      <c r="H5" s="8"/>
      <c r="J5" s="8"/>
      <c r="N5" s="177" t="s">
        <v>45</v>
      </c>
      <c r="O5" s="178"/>
      <c r="P5" s="178"/>
      <c r="Q5" s="178"/>
      <c r="R5" s="156">
        <f>AntallSpill</f>
        <v>20</v>
      </c>
      <c r="S5" s="178" t="s">
        <v>46</v>
      </c>
      <c r="T5" s="179"/>
    </row>
    <row r="6" spans="1:20" ht="15" customHeight="1" thickBot="1">
      <c r="A6" s="175" t="str">
        <f>Definisjoner!C12</f>
        <v>Kamp 02</v>
      </c>
      <c r="B6" s="176"/>
      <c r="C6" s="176"/>
      <c r="D6" s="176"/>
      <c r="E6" s="173" t="s">
        <v>9</v>
      </c>
      <c r="F6" s="173"/>
      <c r="G6" s="173"/>
      <c r="H6" s="174" t="s">
        <v>8</v>
      </c>
      <c r="I6" s="174"/>
      <c r="J6" s="174"/>
      <c r="N6" s="32">
        <v>0</v>
      </c>
      <c r="O6" s="33" t="s">
        <v>11</v>
      </c>
      <c r="P6" s="8">
        <f aca="true" t="shared" si="0" ref="P6:P20">N7-1</f>
        <v>2</v>
      </c>
      <c r="Q6" s="8"/>
      <c r="R6" s="8">
        <v>15</v>
      </c>
      <c r="S6" s="33" t="s">
        <v>11</v>
      </c>
      <c r="T6" s="34">
        <v>15</v>
      </c>
    </row>
    <row r="7" spans="1:20" ht="15" customHeight="1">
      <c r="A7" s="9">
        <v>1</v>
      </c>
      <c r="B7" s="10" t="str">
        <f>VLOOKUP(VLOOKUP(A6,Oppsett,2),Lag,2)</f>
        <v>Bk Grand 3</v>
      </c>
      <c r="C7" s="11" t="s">
        <v>11</v>
      </c>
      <c r="D7" s="10" t="str">
        <f>VLOOKUP(VLOOKUP(A6,Oppsett,3),Lag,2)</f>
        <v>Ulstein</v>
      </c>
      <c r="E7" s="14">
        <v>57</v>
      </c>
      <c r="F7" s="15" t="s">
        <v>11</v>
      </c>
      <c r="G7" s="16">
        <v>68</v>
      </c>
      <c r="H7" s="17">
        <v>13</v>
      </c>
      <c r="I7" s="30" t="s">
        <v>11</v>
      </c>
      <c r="J7" s="16">
        <v>17</v>
      </c>
      <c r="N7" s="32">
        <f>HLOOKUP(R5,IMP2VP,2,FALSE)</f>
        <v>3</v>
      </c>
      <c r="O7" s="33" t="s">
        <v>11</v>
      </c>
      <c r="P7" s="8">
        <f t="shared" si="0"/>
        <v>8</v>
      </c>
      <c r="Q7" s="8"/>
      <c r="R7" s="8">
        <v>16</v>
      </c>
      <c r="S7" s="33" t="s">
        <v>11</v>
      </c>
      <c r="T7" s="34">
        <v>14</v>
      </c>
    </row>
    <row r="8" spans="1:20" ht="15" customHeight="1">
      <c r="A8" s="153">
        <v>2</v>
      </c>
      <c r="B8" s="6" t="str">
        <f>VLOOKUP(VLOOKUP(A6,Oppsett,4),Lag,2)</f>
        <v>Bk Grand 2</v>
      </c>
      <c r="C8" s="7" t="s">
        <v>11</v>
      </c>
      <c r="D8" s="6" t="str">
        <f>VLOOKUP(VLOOKUP(A6,Oppsett,5),Lag,2)</f>
        <v>Bk Grand 1</v>
      </c>
      <c r="E8" s="18">
        <v>51</v>
      </c>
      <c r="F8" s="19" t="s">
        <v>11</v>
      </c>
      <c r="G8" s="20">
        <v>65</v>
      </c>
      <c r="H8" s="21">
        <v>12</v>
      </c>
      <c r="I8" s="31" t="s">
        <v>11</v>
      </c>
      <c r="J8" s="20">
        <v>18</v>
      </c>
      <c r="K8" s="93"/>
      <c r="L8" s="93"/>
      <c r="M8" s="93"/>
      <c r="N8" s="32">
        <f>HLOOKUP(R5,IMP2VP,3,FALSE)</f>
        <v>9</v>
      </c>
      <c r="O8" s="33" t="s">
        <v>11</v>
      </c>
      <c r="P8" s="8">
        <f t="shared" si="0"/>
        <v>12</v>
      </c>
      <c r="Q8" s="8"/>
      <c r="R8" s="8">
        <v>17</v>
      </c>
      <c r="S8" s="33" t="s">
        <v>11</v>
      </c>
      <c r="T8" s="34">
        <v>13</v>
      </c>
    </row>
    <row r="9" spans="1:20" ht="15" customHeight="1" thickBot="1">
      <c r="A9" s="159">
        <v>3</v>
      </c>
      <c r="B9" s="12" t="str">
        <f>VLOOKUP(VLOOKUP(A6,Oppsett,6),Lag,2)</f>
        <v>Fosnavåg</v>
      </c>
      <c r="C9" s="13" t="s">
        <v>11</v>
      </c>
      <c r="D9" s="12" t="str">
        <f>VLOOKUP(VLOOKUP(A6,Oppsett,7),Lag,2)</f>
        <v>Brattvåg&amp;Søvik</v>
      </c>
      <c r="E9" s="66">
        <v>58</v>
      </c>
      <c r="F9" s="67" t="s">
        <v>11</v>
      </c>
      <c r="G9" s="68">
        <v>50</v>
      </c>
      <c r="H9" s="69">
        <v>16</v>
      </c>
      <c r="I9" s="70" t="s">
        <v>11</v>
      </c>
      <c r="J9" s="68">
        <v>14</v>
      </c>
      <c r="N9" s="32">
        <f>HLOOKUP(R5,IMP2VP,4,FALSE)</f>
        <v>13</v>
      </c>
      <c r="O9" s="33" t="s">
        <v>11</v>
      </c>
      <c r="P9" s="8">
        <f t="shared" si="0"/>
        <v>16</v>
      </c>
      <c r="Q9" s="8"/>
      <c r="R9" s="8">
        <v>18</v>
      </c>
      <c r="S9" s="33" t="s">
        <v>11</v>
      </c>
      <c r="T9" s="34">
        <v>12</v>
      </c>
    </row>
    <row r="10" spans="1:20" ht="15" customHeight="1">
      <c r="A10" s="8"/>
      <c r="B10" s="8"/>
      <c r="C10" s="8"/>
      <c r="D10" s="8"/>
      <c r="E10" s="8"/>
      <c r="F10" s="8"/>
      <c r="G10" s="8"/>
      <c r="H10" s="8"/>
      <c r="N10" s="32">
        <f>HLOOKUP(R5,IMP2VP,5,FALSE)</f>
        <v>17</v>
      </c>
      <c r="O10" s="33" t="s">
        <v>11</v>
      </c>
      <c r="P10" s="8">
        <f t="shared" si="0"/>
        <v>21</v>
      </c>
      <c r="Q10" s="8"/>
      <c r="R10" s="8">
        <v>19</v>
      </c>
      <c r="S10" s="33" t="s">
        <v>11</v>
      </c>
      <c r="T10" s="34">
        <v>11</v>
      </c>
    </row>
    <row r="11" spans="1:20" ht="15" customHeight="1" thickBot="1">
      <c r="A11" s="175" t="str">
        <f>Definisjoner!C13</f>
        <v>Kamp 03</v>
      </c>
      <c r="B11" s="176"/>
      <c r="C11" s="176"/>
      <c r="D11" s="176"/>
      <c r="E11" s="173" t="s">
        <v>9</v>
      </c>
      <c r="F11" s="173"/>
      <c r="G11" s="173"/>
      <c r="H11" s="174" t="s">
        <v>8</v>
      </c>
      <c r="I11" s="174"/>
      <c r="J11" s="174"/>
      <c r="N11" s="32">
        <f>HLOOKUP(R5,IMP2VP,6,FALSE)</f>
        <v>22</v>
      </c>
      <c r="O11" s="33" t="s">
        <v>11</v>
      </c>
      <c r="P11" s="8">
        <f t="shared" si="0"/>
        <v>26</v>
      </c>
      <c r="Q11" s="8"/>
      <c r="R11" s="8">
        <v>20</v>
      </c>
      <c r="S11" s="33" t="s">
        <v>11</v>
      </c>
      <c r="T11" s="34">
        <v>10</v>
      </c>
    </row>
    <row r="12" spans="1:20" ht="15" customHeight="1">
      <c r="A12" s="9">
        <v>1</v>
      </c>
      <c r="B12" s="10" t="str">
        <f>VLOOKUP(VLOOKUP(A11,Oppsett,2),Lag,2)</f>
        <v>Ulstein</v>
      </c>
      <c r="C12" s="11" t="s">
        <v>11</v>
      </c>
      <c r="D12" s="10" t="str">
        <f>VLOOKUP(VLOOKUP(A11,Oppsett,3),Lag,2)</f>
        <v>Fosnavåg</v>
      </c>
      <c r="E12" s="14">
        <v>31</v>
      </c>
      <c r="F12" s="15" t="s">
        <v>11</v>
      </c>
      <c r="G12" s="16">
        <v>31</v>
      </c>
      <c r="H12" s="17">
        <v>15</v>
      </c>
      <c r="I12" s="30" t="s">
        <v>11</v>
      </c>
      <c r="J12" s="16">
        <v>15</v>
      </c>
      <c r="K12" s="8"/>
      <c r="L12" s="8"/>
      <c r="M12" s="8"/>
      <c r="N12" s="32">
        <f>HLOOKUP(R5,IMP2VP,7,FALSE)</f>
        <v>27</v>
      </c>
      <c r="O12" s="33" t="s">
        <v>11</v>
      </c>
      <c r="P12" s="8">
        <f t="shared" si="0"/>
        <v>31</v>
      </c>
      <c r="Q12" s="8"/>
      <c r="R12" s="8">
        <v>21</v>
      </c>
      <c r="S12" s="33" t="s">
        <v>11</v>
      </c>
      <c r="T12" s="34">
        <v>9</v>
      </c>
    </row>
    <row r="13" spans="1:20" ht="15" customHeight="1">
      <c r="A13" s="153">
        <v>2</v>
      </c>
      <c r="B13" s="6" t="str">
        <f>VLOOKUP(VLOOKUP(A11,Oppsett,4),Lag,2)</f>
        <v>Bk Grand 3</v>
      </c>
      <c r="C13" s="7" t="s">
        <v>11</v>
      </c>
      <c r="D13" s="6" t="str">
        <f>VLOOKUP(VLOOKUP(A11,Oppsett,5),Lag,2)</f>
        <v>Bk Grand 1</v>
      </c>
      <c r="E13" s="18">
        <v>29</v>
      </c>
      <c r="F13" s="19" t="s">
        <v>11</v>
      </c>
      <c r="G13" s="20">
        <v>59</v>
      </c>
      <c r="H13" s="21">
        <v>9</v>
      </c>
      <c r="I13" s="31" t="s">
        <v>11</v>
      </c>
      <c r="J13" s="20">
        <v>21</v>
      </c>
      <c r="K13" s="8"/>
      <c r="L13" s="8"/>
      <c r="M13" s="8"/>
      <c r="N13" s="32">
        <f>HLOOKUP(R5,IMP2VP,8,FALSE)</f>
        <v>32</v>
      </c>
      <c r="O13" s="33" t="s">
        <v>11</v>
      </c>
      <c r="P13" s="8">
        <f t="shared" si="0"/>
        <v>36</v>
      </c>
      <c r="Q13" s="8"/>
      <c r="R13" s="8">
        <v>22</v>
      </c>
      <c r="S13" s="33" t="s">
        <v>11</v>
      </c>
      <c r="T13" s="34">
        <v>8</v>
      </c>
    </row>
    <row r="14" spans="1:20" ht="15" customHeight="1" thickBot="1">
      <c r="A14" s="159">
        <v>3</v>
      </c>
      <c r="B14" s="12" t="str">
        <f>VLOOKUP(VLOOKUP(A11,Oppsett,6),Lag,2)</f>
        <v>Brattvåg&amp;Søvik</v>
      </c>
      <c r="C14" s="13" t="s">
        <v>11</v>
      </c>
      <c r="D14" s="12" t="str">
        <f>VLOOKUP(VLOOKUP(A11,Oppsett,7),Lag,2)</f>
        <v>Bk Grand 2</v>
      </c>
      <c r="E14" s="66">
        <v>93</v>
      </c>
      <c r="F14" s="67" t="s">
        <v>11</v>
      </c>
      <c r="G14" s="68">
        <v>30</v>
      </c>
      <c r="H14" s="69">
        <v>25</v>
      </c>
      <c r="I14" s="70" t="s">
        <v>11</v>
      </c>
      <c r="J14" s="68">
        <v>3</v>
      </c>
      <c r="K14" s="8"/>
      <c r="L14" s="8"/>
      <c r="N14" s="32">
        <f>HLOOKUP(R5,IMP2VP,9,FALSE)</f>
        <v>37</v>
      </c>
      <c r="O14" s="33" t="s">
        <v>11</v>
      </c>
      <c r="P14" s="8">
        <f t="shared" si="0"/>
        <v>41</v>
      </c>
      <c r="Q14" s="8"/>
      <c r="R14" s="8">
        <v>23</v>
      </c>
      <c r="S14" s="33" t="s">
        <v>11</v>
      </c>
      <c r="T14" s="34">
        <v>7</v>
      </c>
    </row>
    <row r="15" spans="14:20" ht="15" customHeight="1">
      <c r="N15" s="32">
        <f>HLOOKUP(R5,IMP2VP,10,FALSE)</f>
        <v>42</v>
      </c>
      <c r="O15" s="33" t="s">
        <v>11</v>
      </c>
      <c r="P15" s="8">
        <f t="shared" si="0"/>
        <v>47</v>
      </c>
      <c r="Q15" s="8"/>
      <c r="R15" s="8">
        <v>24</v>
      </c>
      <c r="S15" s="33"/>
      <c r="T15" s="34">
        <v>6</v>
      </c>
    </row>
    <row r="16" spans="1:20" ht="15" customHeight="1" thickBot="1">
      <c r="A16" s="175" t="str">
        <f>Definisjoner!C14</f>
        <v>Kamp 04</v>
      </c>
      <c r="B16" s="176"/>
      <c r="C16" s="176"/>
      <c r="D16" s="176"/>
      <c r="E16" s="173" t="s">
        <v>9</v>
      </c>
      <c r="F16" s="173"/>
      <c r="G16" s="173"/>
      <c r="H16" s="174" t="s">
        <v>8</v>
      </c>
      <c r="I16" s="174"/>
      <c r="J16" s="174"/>
      <c r="N16" s="32">
        <f>HLOOKUP(R5,IMP2VP,11,FALSE)</f>
        <v>48</v>
      </c>
      <c r="O16" s="33" t="s">
        <v>11</v>
      </c>
      <c r="P16" s="8">
        <f t="shared" si="0"/>
        <v>53</v>
      </c>
      <c r="Q16" s="8"/>
      <c r="R16" s="8">
        <v>25</v>
      </c>
      <c r="S16" s="33" t="s">
        <v>11</v>
      </c>
      <c r="T16" s="34">
        <v>5</v>
      </c>
    </row>
    <row r="17" spans="1:20" ht="15" customHeight="1">
      <c r="A17" s="9">
        <v>1</v>
      </c>
      <c r="B17" s="10" t="str">
        <f>VLOOKUP(VLOOKUP(A16,Oppsett,2),Lag,2)</f>
        <v>Fosnavåg</v>
      </c>
      <c r="C17" s="11" t="s">
        <v>11</v>
      </c>
      <c r="D17" s="10" t="str">
        <f>VLOOKUP(VLOOKUP(A16,Oppsett,3),Lag,2)</f>
        <v>Bk Grand 1</v>
      </c>
      <c r="E17" s="14">
        <v>69</v>
      </c>
      <c r="F17" s="15" t="s">
        <v>11</v>
      </c>
      <c r="G17" s="16">
        <v>48</v>
      </c>
      <c r="H17" s="17">
        <v>19</v>
      </c>
      <c r="I17" s="30" t="s">
        <v>11</v>
      </c>
      <c r="J17" s="16">
        <v>11</v>
      </c>
      <c r="N17" s="32">
        <f>HLOOKUP(R5,IMP2VP,12,FALSE)</f>
        <v>54</v>
      </c>
      <c r="O17" s="33" t="s">
        <v>11</v>
      </c>
      <c r="P17" s="8">
        <f t="shared" si="0"/>
        <v>59</v>
      </c>
      <c r="Q17" s="8"/>
      <c r="R17" s="8">
        <v>25</v>
      </c>
      <c r="S17" s="33" t="s">
        <v>11</v>
      </c>
      <c r="T17" s="34">
        <v>4</v>
      </c>
    </row>
    <row r="18" spans="1:20" ht="15" customHeight="1">
      <c r="A18" s="153">
        <v>2</v>
      </c>
      <c r="B18" s="6" t="str">
        <f>VLOOKUP(VLOOKUP(A16,Oppsett,4),Lag,2)</f>
        <v>Bk Grand 3</v>
      </c>
      <c r="C18" s="7" t="s">
        <v>11</v>
      </c>
      <c r="D18" s="6" t="str">
        <f>VLOOKUP(VLOOKUP(A16,Oppsett,5),Lag,2)</f>
        <v>Bk Grand 2</v>
      </c>
      <c r="E18" s="18">
        <v>22</v>
      </c>
      <c r="F18" s="19" t="s">
        <v>11</v>
      </c>
      <c r="G18" s="20">
        <v>57</v>
      </c>
      <c r="H18" s="21">
        <v>8</v>
      </c>
      <c r="I18" s="31" t="s">
        <v>11</v>
      </c>
      <c r="J18" s="20">
        <v>22</v>
      </c>
      <c r="N18" s="32">
        <f>HLOOKUP(R5,IMP2VP,13,FALSE)</f>
        <v>60</v>
      </c>
      <c r="O18" s="33" t="s">
        <v>11</v>
      </c>
      <c r="P18" s="8">
        <f t="shared" si="0"/>
        <v>65</v>
      </c>
      <c r="Q18" s="8"/>
      <c r="R18" s="8">
        <v>25</v>
      </c>
      <c r="S18" s="33" t="s">
        <v>11</v>
      </c>
      <c r="T18" s="34">
        <v>3</v>
      </c>
    </row>
    <row r="19" spans="1:20" ht="15" customHeight="1" thickBot="1">
      <c r="A19" s="159">
        <v>3</v>
      </c>
      <c r="B19" s="12" t="str">
        <f>VLOOKUP(VLOOKUP(A16,Oppsett,6),Lag,2)</f>
        <v>Brattvåg&amp;Søvik</v>
      </c>
      <c r="C19" s="13" t="s">
        <v>11</v>
      </c>
      <c r="D19" s="12" t="str">
        <f>VLOOKUP(VLOOKUP(A16,Oppsett,7),Lag,2)</f>
        <v>Ulstein</v>
      </c>
      <c r="E19" s="66">
        <v>76</v>
      </c>
      <c r="F19" s="67" t="s">
        <v>11</v>
      </c>
      <c r="G19" s="68">
        <v>32</v>
      </c>
      <c r="H19" s="69">
        <v>24</v>
      </c>
      <c r="I19" s="70" t="s">
        <v>11</v>
      </c>
      <c r="J19" s="68">
        <v>6</v>
      </c>
      <c r="N19" s="32">
        <f>HLOOKUP(R5,IMP2VP,14,FALSE)</f>
        <v>66</v>
      </c>
      <c r="O19" s="33" t="s">
        <v>11</v>
      </c>
      <c r="P19" s="8">
        <f t="shared" si="0"/>
        <v>72</v>
      </c>
      <c r="Q19" s="8"/>
      <c r="R19" s="8">
        <v>25</v>
      </c>
      <c r="S19" s="33" t="s">
        <v>11</v>
      </c>
      <c r="T19" s="34">
        <v>2</v>
      </c>
    </row>
    <row r="20" spans="14:20" ht="15" customHeight="1">
      <c r="N20" s="32">
        <f>HLOOKUP(R5,IMP2VP,15,FALSE)</f>
        <v>73</v>
      </c>
      <c r="O20" s="33" t="s">
        <v>11</v>
      </c>
      <c r="P20" s="8">
        <f t="shared" si="0"/>
        <v>79</v>
      </c>
      <c r="Q20" s="8"/>
      <c r="R20" s="8">
        <v>25</v>
      </c>
      <c r="S20" s="33" t="s">
        <v>11</v>
      </c>
      <c r="T20" s="34">
        <v>1</v>
      </c>
    </row>
    <row r="21" spans="1:20" ht="15" customHeight="1" thickBot="1">
      <c r="A21" s="175" t="str">
        <f>Definisjoner!C15</f>
        <v>Kamp 05</v>
      </c>
      <c r="B21" s="176"/>
      <c r="C21" s="176"/>
      <c r="D21" s="176"/>
      <c r="E21" s="173" t="s">
        <v>9</v>
      </c>
      <c r="F21" s="173"/>
      <c r="G21" s="173"/>
      <c r="H21" s="174" t="s">
        <v>8</v>
      </c>
      <c r="I21" s="174"/>
      <c r="J21" s="174"/>
      <c r="N21" s="35">
        <f>HLOOKUP(R5,IMP2VP,16,FALSE)</f>
        <v>80</v>
      </c>
      <c r="O21" s="36" t="s">
        <v>11</v>
      </c>
      <c r="P21" s="37"/>
      <c r="Q21" s="37"/>
      <c r="R21" s="37">
        <v>25</v>
      </c>
      <c r="S21" s="36" t="s">
        <v>11</v>
      </c>
      <c r="T21" s="38">
        <v>0</v>
      </c>
    </row>
    <row r="22" spans="1:10" ht="15" customHeight="1">
      <c r="A22" s="9">
        <v>1</v>
      </c>
      <c r="B22" s="10" t="str">
        <f>VLOOKUP(VLOOKUP(A21,Oppsett,2),Lag,2)</f>
        <v>Bk Grand 1</v>
      </c>
      <c r="C22" s="11" t="s">
        <v>11</v>
      </c>
      <c r="D22" s="10" t="str">
        <f>VLOOKUP(VLOOKUP(A21,Oppsett,3),Lag,2)</f>
        <v>Ulstein</v>
      </c>
      <c r="E22" s="14">
        <v>28</v>
      </c>
      <c r="F22" s="15" t="s">
        <v>11</v>
      </c>
      <c r="G22" s="16">
        <v>66</v>
      </c>
      <c r="H22" s="17">
        <v>7</v>
      </c>
      <c r="I22" s="30" t="s">
        <v>11</v>
      </c>
      <c r="J22" s="16">
        <v>23</v>
      </c>
    </row>
    <row r="23" spans="1:13" ht="15" customHeight="1">
      <c r="A23" s="153">
        <v>2</v>
      </c>
      <c r="B23" s="6" t="str">
        <f>VLOOKUP(VLOOKUP(A21,Oppsett,4),Lag,2)</f>
        <v>Bk Grand 2</v>
      </c>
      <c r="C23" s="7" t="s">
        <v>11</v>
      </c>
      <c r="D23" s="6" t="str">
        <f>VLOOKUP(VLOOKUP(A21,Oppsett,5),Lag,2)</f>
        <v>Fosnavåg</v>
      </c>
      <c r="E23" s="18">
        <v>19</v>
      </c>
      <c r="F23" s="19" t="s">
        <v>11</v>
      </c>
      <c r="G23" s="20">
        <v>75</v>
      </c>
      <c r="H23" s="21">
        <v>4</v>
      </c>
      <c r="I23" s="31" t="s">
        <v>11</v>
      </c>
      <c r="J23" s="20">
        <v>25</v>
      </c>
      <c r="M23" s="99"/>
    </row>
    <row r="24" spans="1:13" ht="15" customHeight="1" thickBot="1">
      <c r="A24" s="159">
        <v>3</v>
      </c>
      <c r="B24" s="12" t="str">
        <f>VLOOKUP(VLOOKUP(A21,Oppsett,6),Lag,2)</f>
        <v>Bk Grand 3</v>
      </c>
      <c r="C24" s="13" t="s">
        <v>11</v>
      </c>
      <c r="D24" s="12" t="str">
        <f>VLOOKUP(VLOOKUP(A21,Oppsett,7),Lag,2)</f>
        <v>Brattvåg&amp;Søvik</v>
      </c>
      <c r="E24" s="66">
        <v>37</v>
      </c>
      <c r="F24" s="67" t="s">
        <v>11</v>
      </c>
      <c r="G24" s="68">
        <v>40</v>
      </c>
      <c r="H24" s="69">
        <v>14</v>
      </c>
      <c r="I24" s="70" t="s">
        <v>11</v>
      </c>
      <c r="J24" s="68">
        <v>16</v>
      </c>
      <c r="M24" s="99"/>
    </row>
    <row r="26" spans="1:10" ht="15" customHeight="1" thickBot="1">
      <c r="A26" s="175" t="str">
        <f>Definisjoner!C16</f>
        <v>Kamp 06</v>
      </c>
      <c r="B26" s="176"/>
      <c r="C26" s="176"/>
      <c r="D26" s="176"/>
      <c r="E26" s="173" t="s">
        <v>9</v>
      </c>
      <c r="F26" s="173"/>
      <c r="G26" s="173"/>
      <c r="H26" s="174" t="s">
        <v>8</v>
      </c>
      <c r="I26" s="174"/>
      <c r="J26" s="174"/>
    </row>
    <row r="27" spans="1:10" ht="15" customHeight="1">
      <c r="A27" s="9">
        <v>1</v>
      </c>
      <c r="B27" s="10" t="str">
        <f>VLOOKUP(VLOOKUP(A26,Oppsett,2),Lag,2)</f>
        <v>Bk Grand 2</v>
      </c>
      <c r="C27" s="11" t="s">
        <v>11</v>
      </c>
      <c r="D27" s="10" t="str">
        <f>VLOOKUP(VLOOKUP(A26,Oppsett,3),Lag,2)</f>
        <v>Ulstein</v>
      </c>
      <c r="E27" s="14">
        <v>47</v>
      </c>
      <c r="F27" s="15" t="s">
        <v>11</v>
      </c>
      <c r="G27" s="16">
        <v>68</v>
      </c>
      <c r="H27" s="17">
        <v>11</v>
      </c>
      <c r="I27" s="30" t="s">
        <v>11</v>
      </c>
      <c r="J27" s="16">
        <v>19</v>
      </c>
    </row>
    <row r="28" spans="1:10" ht="15" customHeight="1">
      <c r="A28" s="153">
        <v>2</v>
      </c>
      <c r="B28" s="6" t="str">
        <f>VLOOKUP(VLOOKUP(A26,Oppsett,4),Lag,2)</f>
        <v>Fosnavåg</v>
      </c>
      <c r="C28" s="7" t="s">
        <v>11</v>
      </c>
      <c r="D28" s="6" t="str">
        <f>VLOOKUP(VLOOKUP(A26,Oppsett,5),Lag,2)</f>
        <v>Bk Grand 3</v>
      </c>
      <c r="E28" s="18">
        <v>65</v>
      </c>
      <c r="F28" s="19" t="s">
        <v>11</v>
      </c>
      <c r="G28" s="20">
        <v>63</v>
      </c>
      <c r="H28" s="21">
        <v>15</v>
      </c>
      <c r="I28" s="31" t="s">
        <v>11</v>
      </c>
      <c r="J28" s="20">
        <v>15</v>
      </c>
    </row>
    <row r="29" spans="1:10" ht="15" customHeight="1" thickBot="1">
      <c r="A29" s="159">
        <v>3</v>
      </c>
      <c r="B29" s="12" t="str">
        <f>VLOOKUP(VLOOKUP(A26,Oppsett,6),Lag,2)</f>
        <v>Brattvåg&amp;Søvik</v>
      </c>
      <c r="C29" s="13" t="s">
        <v>11</v>
      </c>
      <c r="D29" s="12" t="str">
        <f>VLOOKUP(VLOOKUP(A26,Oppsett,7),Lag,2)</f>
        <v>Bk Grand 1</v>
      </c>
      <c r="E29" s="66">
        <v>39</v>
      </c>
      <c r="F29" s="67" t="s">
        <v>11</v>
      </c>
      <c r="G29" s="68">
        <v>54</v>
      </c>
      <c r="H29" s="69">
        <v>12</v>
      </c>
      <c r="I29" s="70" t="s">
        <v>11</v>
      </c>
      <c r="J29" s="68">
        <v>18</v>
      </c>
    </row>
    <row r="30" spans="1:10" ht="15" customHeight="1">
      <c r="A30" s="8"/>
      <c r="B30" s="8"/>
      <c r="C30" s="8"/>
      <c r="D30" s="8"/>
      <c r="E30" s="8"/>
      <c r="F30" s="8"/>
      <c r="G30" s="8"/>
      <c r="H30" s="8"/>
      <c r="J30" s="8"/>
    </row>
    <row r="31" spans="1:10" ht="15" customHeight="1" thickBot="1">
      <c r="A31" s="175" t="str">
        <f>Definisjoner!C17</f>
        <v>Kamp 07</v>
      </c>
      <c r="B31" s="176"/>
      <c r="C31" s="176"/>
      <c r="D31" s="176"/>
      <c r="E31" s="173" t="s">
        <v>9</v>
      </c>
      <c r="F31" s="173"/>
      <c r="G31" s="173"/>
      <c r="H31" s="174" t="s">
        <v>8</v>
      </c>
      <c r="I31" s="174"/>
      <c r="J31" s="174"/>
    </row>
    <row r="32" spans="1:10" ht="15" customHeight="1">
      <c r="A32" s="9">
        <v>1</v>
      </c>
      <c r="B32" s="10" t="str">
        <f>VLOOKUP(VLOOKUP(A31,Oppsett,2),Lag,2)</f>
        <v>Ulstein</v>
      </c>
      <c r="C32" s="11" t="s">
        <v>11</v>
      </c>
      <c r="D32" s="10" t="str">
        <f>VLOOKUP(VLOOKUP(A31,Oppsett,3),Lag,2)</f>
        <v>Bk Grand 3</v>
      </c>
      <c r="E32" s="14">
        <v>68</v>
      </c>
      <c r="F32" s="15" t="s">
        <v>11</v>
      </c>
      <c r="G32" s="16">
        <v>46</v>
      </c>
      <c r="H32" s="17">
        <v>20</v>
      </c>
      <c r="I32" s="30" t="s">
        <v>11</v>
      </c>
      <c r="J32" s="16">
        <v>10</v>
      </c>
    </row>
    <row r="33" spans="1:10" ht="15" customHeight="1">
      <c r="A33" s="153">
        <v>2</v>
      </c>
      <c r="B33" s="6" t="str">
        <f>VLOOKUP(VLOOKUP(A31,Oppsett,4),Lag,2)</f>
        <v>Bk Grand 1</v>
      </c>
      <c r="C33" s="7" t="s">
        <v>11</v>
      </c>
      <c r="D33" s="6" t="str">
        <f>VLOOKUP(VLOOKUP(A31,Oppsett,5),Lag,2)</f>
        <v>Bk Grand 2</v>
      </c>
      <c r="E33" s="18">
        <v>26</v>
      </c>
      <c r="F33" s="19" t="s">
        <v>11</v>
      </c>
      <c r="G33" s="20">
        <v>58</v>
      </c>
      <c r="H33" s="21">
        <v>8</v>
      </c>
      <c r="I33" s="31" t="s">
        <v>11</v>
      </c>
      <c r="J33" s="20">
        <v>22</v>
      </c>
    </row>
    <row r="34" spans="1:10" ht="15" customHeight="1" thickBot="1">
      <c r="A34" s="159">
        <v>3</v>
      </c>
      <c r="B34" s="12" t="str">
        <f>VLOOKUP(VLOOKUP(A31,Oppsett,6),Lag,2)</f>
        <v>Brattvåg&amp;Søvik</v>
      </c>
      <c r="C34" s="13" t="s">
        <v>11</v>
      </c>
      <c r="D34" s="12" t="str">
        <f>VLOOKUP(VLOOKUP(A31,Oppsett,7),Lag,2)</f>
        <v>Fosnavåg</v>
      </c>
      <c r="E34" s="66">
        <v>14</v>
      </c>
      <c r="F34" s="67" t="s">
        <v>11</v>
      </c>
      <c r="G34" s="68">
        <v>62</v>
      </c>
      <c r="H34" s="69">
        <v>5</v>
      </c>
      <c r="I34" s="70" t="s">
        <v>11</v>
      </c>
      <c r="J34" s="68">
        <v>25</v>
      </c>
    </row>
    <row r="36" spans="1:10" ht="15" customHeight="1" thickBot="1">
      <c r="A36" s="175" t="str">
        <f>Definisjoner!C18</f>
        <v>Kamp 08</v>
      </c>
      <c r="B36" s="176"/>
      <c r="C36" s="176"/>
      <c r="D36" s="176"/>
      <c r="E36" s="173" t="s">
        <v>9</v>
      </c>
      <c r="F36" s="173"/>
      <c r="G36" s="173"/>
      <c r="H36" s="174" t="s">
        <v>8</v>
      </c>
      <c r="I36" s="174"/>
      <c r="J36" s="174"/>
    </row>
    <row r="37" spans="1:10" ht="15" customHeight="1">
      <c r="A37" s="9">
        <v>1</v>
      </c>
      <c r="B37" s="10" t="str">
        <f>VLOOKUP(VLOOKUP(A36,Oppsett,2),Lag,2)</f>
        <v>Fosnavåg</v>
      </c>
      <c r="C37" s="11" t="s">
        <v>11</v>
      </c>
      <c r="D37" s="10" t="str">
        <f>VLOOKUP(VLOOKUP(A36,Oppsett,3),Lag,2)</f>
        <v>Ulstein</v>
      </c>
      <c r="E37" s="14">
        <v>48</v>
      </c>
      <c r="F37" s="15" t="s">
        <v>11</v>
      </c>
      <c r="G37" s="16">
        <v>32</v>
      </c>
      <c r="H37" s="17">
        <v>18</v>
      </c>
      <c r="I37" s="30" t="s">
        <v>11</v>
      </c>
      <c r="J37" s="16">
        <v>12</v>
      </c>
    </row>
    <row r="38" spans="1:10" ht="15" customHeight="1">
      <c r="A38" s="153">
        <v>2</v>
      </c>
      <c r="B38" s="6" t="str">
        <f>VLOOKUP(VLOOKUP(A36,Oppsett,4),Lag,2)</f>
        <v>Bk Grand 1</v>
      </c>
      <c r="C38" s="7" t="s">
        <v>11</v>
      </c>
      <c r="D38" s="6" t="str">
        <f>VLOOKUP(VLOOKUP(A36,Oppsett,5),Lag,2)</f>
        <v>Bk Grand 3</v>
      </c>
      <c r="E38" s="18">
        <v>52</v>
      </c>
      <c r="F38" s="19" t="s">
        <v>11</v>
      </c>
      <c r="G38" s="20">
        <v>33</v>
      </c>
      <c r="H38" s="21">
        <v>19</v>
      </c>
      <c r="I38" s="31" t="s">
        <v>11</v>
      </c>
      <c r="J38" s="20">
        <v>11</v>
      </c>
    </row>
    <row r="39" spans="1:10" ht="15" customHeight="1" thickBot="1">
      <c r="A39" s="159">
        <v>3</v>
      </c>
      <c r="B39" s="12" t="str">
        <f>VLOOKUP(VLOOKUP(A36,Oppsett,6),Lag,2)</f>
        <v>Bk Grand 2</v>
      </c>
      <c r="C39" s="13" t="s">
        <v>11</v>
      </c>
      <c r="D39" s="12" t="str">
        <f>VLOOKUP(VLOOKUP(A36,Oppsett,7),Lag,2)</f>
        <v>Brattvåg&amp;Søvik</v>
      </c>
      <c r="E39" s="66">
        <v>48</v>
      </c>
      <c r="F39" s="67" t="s">
        <v>11</v>
      </c>
      <c r="G39" s="68">
        <v>46</v>
      </c>
      <c r="H39" s="69">
        <v>15</v>
      </c>
      <c r="I39" s="70" t="s">
        <v>11</v>
      </c>
      <c r="J39" s="68">
        <v>15</v>
      </c>
    </row>
    <row r="41" spans="1:10" ht="15" customHeight="1" thickBot="1">
      <c r="A41" s="175" t="str">
        <f>Definisjoner!C19</f>
        <v>Kamp 09</v>
      </c>
      <c r="B41" s="176"/>
      <c r="C41" s="176"/>
      <c r="D41" s="176"/>
      <c r="E41" s="173" t="s">
        <v>9</v>
      </c>
      <c r="F41" s="173"/>
      <c r="G41" s="173"/>
      <c r="H41" s="174" t="s">
        <v>8</v>
      </c>
      <c r="I41" s="174"/>
      <c r="J41" s="174"/>
    </row>
    <row r="42" spans="1:12" ht="15" customHeight="1">
      <c r="A42" s="9">
        <v>1</v>
      </c>
      <c r="B42" s="10" t="str">
        <f>VLOOKUP(VLOOKUP(A41,Oppsett,2),Lag,2)</f>
        <v>Bk Grand 1</v>
      </c>
      <c r="C42" s="11" t="s">
        <v>11</v>
      </c>
      <c r="D42" s="10" t="str">
        <f>VLOOKUP(VLOOKUP(A41,Oppsett,3),Lag,2)</f>
        <v>Fosnavåg</v>
      </c>
      <c r="E42" s="14">
        <v>85</v>
      </c>
      <c r="F42" s="15" t="s">
        <v>11</v>
      </c>
      <c r="G42" s="16">
        <v>27</v>
      </c>
      <c r="H42" s="17">
        <v>25</v>
      </c>
      <c r="I42" s="30" t="s">
        <v>11</v>
      </c>
      <c r="J42" s="16">
        <v>4</v>
      </c>
      <c r="L42" s="43"/>
    </row>
    <row r="43" spans="1:11" ht="15" customHeight="1">
      <c r="A43" s="153">
        <v>2</v>
      </c>
      <c r="B43" s="6" t="str">
        <f>VLOOKUP(VLOOKUP(A41,Oppsett,4),Lag,2)</f>
        <v>Bk Grand 2</v>
      </c>
      <c r="C43" s="7" t="s">
        <v>11</v>
      </c>
      <c r="D43" s="6" t="str">
        <f>VLOOKUP(VLOOKUP(A41,Oppsett,5),Lag,2)</f>
        <v>Bk Grand 3</v>
      </c>
      <c r="E43" s="18">
        <v>96</v>
      </c>
      <c r="F43" s="19" t="s">
        <v>11</v>
      </c>
      <c r="G43" s="20">
        <v>21</v>
      </c>
      <c r="H43" s="21">
        <v>25</v>
      </c>
      <c r="I43" s="31" t="s">
        <v>11</v>
      </c>
      <c r="J43" s="20">
        <v>1</v>
      </c>
      <c r="K43" s="43"/>
    </row>
    <row r="44" spans="1:10" ht="15" customHeight="1" thickBot="1">
      <c r="A44" s="159">
        <v>3</v>
      </c>
      <c r="B44" s="12" t="str">
        <f>VLOOKUP(VLOOKUP(A41,Oppsett,6),Lag,2)</f>
        <v>Ulstein</v>
      </c>
      <c r="C44" s="13" t="s">
        <v>11</v>
      </c>
      <c r="D44" s="12" t="str">
        <f>VLOOKUP(VLOOKUP(A41,Oppsett,7),Lag,2)</f>
        <v>Brattvåg&amp;Søvik</v>
      </c>
      <c r="E44" s="66">
        <v>37</v>
      </c>
      <c r="F44" s="67" t="s">
        <v>11</v>
      </c>
      <c r="G44" s="68">
        <v>34</v>
      </c>
      <c r="H44" s="69">
        <v>16</v>
      </c>
      <c r="I44" s="70" t="s">
        <v>11</v>
      </c>
      <c r="J44" s="68">
        <v>14</v>
      </c>
    </row>
    <row r="46" spans="1:10" ht="15" customHeight="1" thickBot="1">
      <c r="A46" s="175" t="str">
        <f>Definisjoner!C20</f>
        <v>Kamp 10</v>
      </c>
      <c r="B46" s="176"/>
      <c r="C46" s="176"/>
      <c r="D46" s="176"/>
      <c r="E46" s="173" t="s">
        <v>9</v>
      </c>
      <c r="F46" s="173"/>
      <c r="G46" s="173"/>
      <c r="H46" s="174" t="s">
        <v>8</v>
      </c>
      <c r="I46" s="174"/>
      <c r="J46" s="174"/>
    </row>
    <row r="47" spans="1:10" ht="15" customHeight="1">
      <c r="A47" s="9">
        <v>1</v>
      </c>
      <c r="B47" s="10" t="str">
        <f>VLOOKUP(VLOOKUP(A46,Oppsett,2),Lag,2)</f>
        <v>Ulstein</v>
      </c>
      <c r="C47" s="11" t="s">
        <v>11</v>
      </c>
      <c r="D47" s="10" t="str">
        <f>VLOOKUP(VLOOKUP(A46,Oppsett,3),Lag,2)</f>
        <v>Bk Grand 1</v>
      </c>
      <c r="E47" s="14">
        <v>13</v>
      </c>
      <c r="F47" s="15" t="s">
        <v>11</v>
      </c>
      <c r="G47" s="16">
        <v>43</v>
      </c>
      <c r="H47" s="17">
        <v>9</v>
      </c>
      <c r="I47" s="30" t="s">
        <v>11</v>
      </c>
      <c r="J47" s="16">
        <v>21</v>
      </c>
    </row>
    <row r="48" spans="1:10" ht="15" customHeight="1">
      <c r="A48" s="153">
        <v>2</v>
      </c>
      <c r="B48" s="6" t="str">
        <f>VLOOKUP(VLOOKUP(A46,Oppsett,4),Lag,2)</f>
        <v>Fosnavåg</v>
      </c>
      <c r="C48" s="7" t="s">
        <v>11</v>
      </c>
      <c r="D48" s="6" t="str">
        <f>VLOOKUP(VLOOKUP(A46,Oppsett,5),Lag,2)</f>
        <v>Bk Grand 2</v>
      </c>
      <c r="E48" s="18">
        <v>45</v>
      </c>
      <c r="F48" s="19" t="s">
        <v>11</v>
      </c>
      <c r="G48" s="20">
        <v>43</v>
      </c>
      <c r="H48" s="21">
        <v>15</v>
      </c>
      <c r="I48" s="31" t="s">
        <v>11</v>
      </c>
      <c r="J48" s="20">
        <v>15</v>
      </c>
    </row>
    <row r="49" spans="1:12" ht="15" customHeight="1" thickBot="1">
      <c r="A49" s="159">
        <v>3</v>
      </c>
      <c r="B49" s="12" t="str">
        <f>VLOOKUP(VLOOKUP(A46,Oppsett,6),Lag,2)</f>
        <v>Brattvåg&amp;Søvik</v>
      </c>
      <c r="C49" s="13" t="s">
        <v>11</v>
      </c>
      <c r="D49" s="12" t="str">
        <f>VLOOKUP(VLOOKUP(A46,Oppsett,7),Lag,2)</f>
        <v>Bk Grand 3</v>
      </c>
      <c r="E49" s="66">
        <v>44</v>
      </c>
      <c r="F49" s="67" t="s">
        <v>11</v>
      </c>
      <c r="G49" s="68">
        <v>20</v>
      </c>
      <c r="H49" s="69">
        <v>20</v>
      </c>
      <c r="I49" s="70" t="s">
        <v>11</v>
      </c>
      <c r="J49" s="68">
        <v>10</v>
      </c>
      <c r="L49" s="43"/>
    </row>
    <row r="51" ht="15" customHeight="1">
      <c r="K51" s="43"/>
    </row>
    <row r="56" ht="15" customHeight="1">
      <c r="L56" s="43"/>
    </row>
  </sheetData>
  <sheetProtection/>
  <mergeCells count="33">
    <mergeCell ref="A41:D41"/>
    <mergeCell ref="A46:D46"/>
    <mergeCell ref="A21:D21"/>
    <mergeCell ref="A26:D26"/>
    <mergeCell ref="A31:D31"/>
    <mergeCell ref="A36:D36"/>
    <mergeCell ref="N5:Q5"/>
    <mergeCell ref="E26:G26"/>
    <mergeCell ref="S5:T5"/>
    <mergeCell ref="E46:G46"/>
    <mergeCell ref="H46:J46"/>
    <mergeCell ref="H26:J26"/>
    <mergeCell ref="E21:G21"/>
    <mergeCell ref="H21:J21"/>
    <mergeCell ref="E41:G41"/>
    <mergeCell ref="H41:J41"/>
    <mergeCell ref="K1:L1"/>
    <mergeCell ref="H11:J11"/>
    <mergeCell ref="E16:G16"/>
    <mergeCell ref="H16:J16"/>
    <mergeCell ref="E1:G1"/>
    <mergeCell ref="H1:J1"/>
    <mergeCell ref="E6:G6"/>
    <mergeCell ref="H6:J6"/>
    <mergeCell ref="E11:G11"/>
    <mergeCell ref="A1:D1"/>
    <mergeCell ref="A6:D6"/>
    <mergeCell ref="A11:D11"/>
    <mergeCell ref="A16:D16"/>
    <mergeCell ref="E31:G31"/>
    <mergeCell ref="H31:J31"/>
    <mergeCell ref="E36:G36"/>
    <mergeCell ref="H36:J36"/>
  </mergeCells>
  <printOptions/>
  <pageMargins left="0.35433070866141736" right="0.35433070866141736" top="0.1968503937007874" bottom="0.1968503937007874" header="0" footer="0"/>
  <pageSetup fitToHeight="1" fitToWidth="1" horizontalDpi="300" verticalDpi="300" orientation="portrait" paperSize="9" scale="81" r:id="rId1"/>
  <rowBreaks count="1" manualBreakCount="1"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1"/>
  <sheetViews>
    <sheetView zoomScalePageLayoutView="0" workbookViewId="0" topLeftCell="A1">
      <selection activeCell="B17" sqref="B17:B22"/>
    </sheetView>
  </sheetViews>
  <sheetFormatPr defaultColWidth="8.83203125" defaultRowHeight="12.75"/>
  <cols>
    <col min="1" max="1" width="24.83203125" style="0" bestFit="1" customWidth="1"/>
    <col min="2" max="2" width="13.83203125" style="0" bestFit="1" customWidth="1"/>
    <col min="3" max="3" width="8.16015625" style="23" customWidth="1"/>
    <col min="4" max="4" width="12.5" style="23" customWidth="1"/>
    <col min="5" max="5" width="15.33203125" style="48" customWidth="1"/>
    <col min="6" max="6" width="6.83203125" style="60" bestFit="1" customWidth="1"/>
    <col min="7" max="7" width="11.66015625" style="60" customWidth="1"/>
    <col min="8" max="8" width="5.5" style="23" customWidth="1"/>
    <col min="9" max="9" width="5.5" style="48" customWidth="1"/>
    <col min="10" max="10" width="5.5" style="23" customWidth="1"/>
    <col min="11" max="11" width="5.5" style="48" customWidth="1"/>
    <col min="12" max="12" width="5.5" style="23" customWidth="1"/>
    <col min="13" max="13" width="5.5" style="48" customWidth="1"/>
    <col min="14" max="14" width="5.5" style="23" customWidth="1"/>
    <col min="15" max="15" width="5.5" style="48" customWidth="1"/>
    <col min="16" max="16" width="5.5" style="23" customWidth="1"/>
    <col min="17" max="17" width="5.5" style="48" customWidth="1"/>
    <col min="18" max="18" width="5.5" style="23" customWidth="1"/>
    <col min="19" max="19" width="5.5" style="48" customWidth="1"/>
    <col min="20" max="20" width="5.5" style="23" customWidth="1"/>
    <col min="21" max="21" width="5.5" style="48" customWidth="1"/>
    <col min="22" max="22" width="5.5" style="63" customWidth="1"/>
    <col min="23" max="25" width="5.5" style="23" customWidth="1"/>
    <col min="26" max="26" width="5.5" style="63" customWidth="1"/>
    <col min="27" max="27" width="5.5" style="23" customWidth="1"/>
    <col min="28" max="16384" width="8.83203125" style="23" customWidth="1"/>
  </cols>
  <sheetData>
    <row r="1" spans="1:28" ht="18" customHeight="1" thickBot="1">
      <c r="A1" s="180" t="str">
        <f>Overskrift_MP</f>
        <v>Registrering av forbundspoeng (2,8 FP til laget for vunnet kamp) og spilte kamper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1"/>
    </row>
    <row r="2" spans="1:28" ht="12.75">
      <c r="A2" s="87"/>
      <c r="B2" s="90"/>
      <c r="C2" s="74"/>
      <c r="D2" s="74"/>
      <c r="E2" s="75"/>
      <c r="F2" s="76" t="s">
        <v>0</v>
      </c>
      <c r="G2" s="75" t="s">
        <v>14</v>
      </c>
      <c r="H2" s="182" t="s">
        <v>22</v>
      </c>
      <c r="I2" s="183"/>
      <c r="J2" s="182" t="s">
        <v>23</v>
      </c>
      <c r="K2" s="183"/>
      <c r="L2" s="182" t="s">
        <v>24</v>
      </c>
      <c r="M2" s="183"/>
      <c r="N2" s="182" t="s">
        <v>25</v>
      </c>
      <c r="O2" s="183"/>
      <c r="P2" s="182" t="s">
        <v>26</v>
      </c>
      <c r="Q2" s="183"/>
      <c r="R2" s="182" t="s">
        <v>27</v>
      </c>
      <c r="S2" s="183"/>
      <c r="T2" s="182" t="s">
        <v>28</v>
      </c>
      <c r="U2" s="183"/>
      <c r="V2" s="182" t="s">
        <v>32</v>
      </c>
      <c r="W2" s="183"/>
      <c r="X2" s="182" t="s">
        <v>33</v>
      </c>
      <c r="Y2" s="183"/>
      <c r="Z2" s="182" t="s">
        <v>43</v>
      </c>
      <c r="AA2" s="183"/>
      <c r="AB2" s="77" t="s">
        <v>12</v>
      </c>
    </row>
    <row r="3" spans="1:28" ht="12.75">
      <c r="A3" s="88"/>
      <c r="B3" s="91"/>
      <c r="C3" s="80" t="s">
        <v>2</v>
      </c>
      <c r="D3" s="24" t="s">
        <v>4</v>
      </c>
      <c r="E3" s="54" t="s">
        <v>3</v>
      </c>
      <c r="F3" s="49"/>
      <c r="G3" s="59" t="s">
        <v>13</v>
      </c>
      <c r="H3" s="22" t="s">
        <v>5</v>
      </c>
      <c r="I3" s="51" t="s">
        <v>6</v>
      </c>
      <c r="J3" s="22" t="s">
        <v>5</v>
      </c>
      <c r="K3" s="51" t="s">
        <v>6</v>
      </c>
      <c r="L3" s="22" t="s">
        <v>5</v>
      </c>
      <c r="M3" s="51" t="s">
        <v>6</v>
      </c>
      <c r="N3" s="22" t="s">
        <v>5</v>
      </c>
      <c r="O3" s="51" t="s">
        <v>6</v>
      </c>
      <c r="P3" s="22" t="s">
        <v>5</v>
      </c>
      <c r="Q3" s="51" t="s">
        <v>6</v>
      </c>
      <c r="R3" s="22" t="s">
        <v>5</v>
      </c>
      <c r="S3" s="51" t="s">
        <v>6</v>
      </c>
      <c r="T3" s="22" t="s">
        <v>5</v>
      </c>
      <c r="U3" s="51" t="s">
        <v>6</v>
      </c>
      <c r="V3" s="22" t="s">
        <v>5</v>
      </c>
      <c r="W3" s="51" t="s">
        <v>6</v>
      </c>
      <c r="X3" s="22" t="s">
        <v>5</v>
      </c>
      <c r="Y3" s="51" t="s">
        <v>6</v>
      </c>
      <c r="Z3" s="22" t="s">
        <v>5</v>
      </c>
      <c r="AA3" s="51" t="s">
        <v>6</v>
      </c>
      <c r="AB3" s="78"/>
    </row>
    <row r="4" spans="1:28" s="47" customFormat="1" ht="12.75">
      <c r="A4" s="89" t="s">
        <v>1</v>
      </c>
      <c r="B4" s="92" t="s">
        <v>17</v>
      </c>
      <c r="C4" s="44"/>
      <c r="D4" s="44">
        <f>COUNTA(E5:E53)</f>
        <v>29</v>
      </c>
      <c r="E4" s="55" t="s">
        <v>7</v>
      </c>
      <c r="F4" s="58">
        <f aca="true" t="shared" si="0" ref="F4:S4">SUM(F5:F53)</f>
        <v>101.99999999999999</v>
      </c>
      <c r="G4" s="58">
        <f t="shared" si="0"/>
        <v>204</v>
      </c>
      <c r="H4" s="22">
        <f t="shared" si="0"/>
        <v>0</v>
      </c>
      <c r="I4" s="51">
        <f t="shared" si="0"/>
        <v>8.4</v>
      </c>
      <c r="J4" s="46">
        <f t="shared" si="0"/>
        <v>0</v>
      </c>
      <c r="K4" s="50">
        <f t="shared" si="0"/>
        <v>8.4</v>
      </c>
      <c r="L4" s="46">
        <f t="shared" si="0"/>
        <v>0</v>
      </c>
      <c r="M4" s="50">
        <f t="shared" si="0"/>
        <v>8.399999999999999</v>
      </c>
      <c r="N4" s="46">
        <f t="shared" si="0"/>
        <v>0</v>
      </c>
      <c r="O4" s="50">
        <f t="shared" si="0"/>
        <v>8.4</v>
      </c>
      <c r="P4" s="46">
        <f t="shared" si="0"/>
        <v>0</v>
      </c>
      <c r="Q4" s="50">
        <f t="shared" si="0"/>
        <v>8.4</v>
      </c>
      <c r="R4" s="46">
        <f t="shared" si="0"/>
        <v>0</v>
      </c>
      <c r="S4" s="50">
        <f t="shared" si="0"/>
        <v>8.399999999999999</v>
      </c>
      <c r="T4" s="46">
        <f aca="true" t="shared" si="1" ref="T4:AB4">SUM(T5:T53)</f>
        <v>0</v>
      </c>
      <c r="U4" s="50">
        <f t="shared" si="1"/>
        <v>8.4</v>
      </c>
      <c r="V4" s="46">
        <f t="shared" si="1"/>
        <v>0</v>
      </c>
      <c r="W4" s="50">
        <f t="shared" si="1"/>
        <v>8.4</v>
      </c>
      <c r="X4" s="46">
        <f t="shared" si="1"/>
        <v>0</v>
      </c>
      <c r="Y4" s="50">
        <f t="shared" si="1"/>
        <v>8.4</v>
      </c>
      <c r="Z4" s="46">
        <f t="shared" si="1"/>
        <v>0</v>
      </c>
      <c r="AA4" s="50">
        <f t="shared" si="1"/>
        <v>8.399999999999999</v>
      </c>
      <c r="AB4" s="79">
        <f t="shared" si="1"/>
        <v>18</v>
      </c>
    </row>
    <row r="5" spans="1:28" ht="12.75">
      <c r="A5" s="184" t="str">
        <f>Definisjoner!B2</f>
        <v>Bk Grand 1</v>
      </c>
      <c r="B5" s="187" t="str">
        <f>Definisjoner!C2</f>
        <v>Natvik</v>
      </c>
      <c r="C5" s="24"/>
      <c r="D5" s="24" t="s">
        <v>127</v>
      </c>
      <c r="E5" s="54" t="s">
        <v>128</v>
      </c>
      <c r="F5" s="59">
        <f aca="true" t="shared" si="2" ref="F5:F41">IF($E5="","",SUM(H5:AB5))</f>
        <v>3.8</v>
      </c>
      <c r="G5" s="124">
        <f aca="true" t="shared" si="3" ref="G5:G41">IF($E5="","",COUNT(H5:AA5))</f>
        <v>5</v>
      </c>
      <c r="H5" s="125"/>
      <c r="I5" s="126"/>
      <c r="J5" s="125"/>
      <c r="K5" s="126"/>
      <c r="L5" s="125"/>
      <c r="M5" s="126"/>
      <c r="N5" s="125"/>
      <c r="O5" s="126"/>
      <c r="P5" s="125"/>
      <c r="Q5" s="126"/>
      <c r="R5" s="125"/>
      <c r="S5" s="126">
        <v>0.7</v>
      </c>
      <c r="T5" s="125"/>
      <c r="U5" s="126">
        <v>0</v>
      </c>
      <c r="V5" s="125"/>
      <c r="W5" s="126">
        <v>0.7</v>
      </c>
      <c r="X5" s="125"/>
      <c r="Y5" s="126">
        <v>0.7</v>
      </c>
      <c r="Z5" s="125"/>
      <c r="AA5" s="126">
        <v>0.7</v>
      </c>
      <c r="AB5" s="127">
        <v>1</v>
      </c>
    </row>
    <row r="6" spans="1:28" ht="12.75">
      <c r="A6" s="184"/>
      <c r="B6" s="187"/>
      <c r="C6" s="25">
        <v>23760</v>
      </c>
      <c r="D6" s="25" t="s">
        <v>69</v>
      </c>
      <c r="E6" s="56" t="s">
        <v>70</v>
      </c>
      <c r="F6" s="61">
        <f t="shared" si="2"/>
        <v>5.9</v>
      </c>
      <c r="G6" s="120">
        <f t="shared" si="3"/>
        <v>10</v>
      </c>
      <c r="H6" s="121"/>
      <c r="I6" s="61">
        <v>0.7</v>
      </c>
      <c r="J6" s="121"/>
      <c r="K6" s="61">
        <v>0.7</v>
      </c>
      <c r="L6" s="147"/>
      <c r="M6" s="61">
        <v>0.7</v>
      </c>
      <c r="N6" s="121"/>
      <c r="O6" s="61">
        <v>0</v>
      </c>
      <c r="P6" s="121"/>
      <c r="Q6" s="61">
        <v>0</v>
      </c>
      <c r="R6" s="121"/>
      <c r="S6" s="61">
        <v>0.7</v>
      </c>
      <c r="T6" s="121"/>
      <c r="U6" s="61">
        <v>0</v>
      </c>
      <c r="V6" s="121"/>
      <c r="W6" s="61">
        <v>0.7</v>
      </c>
      <c r="X6" s="121"/>
      <c r="Y6" s="61">
        <v>0.7</v>
      </c>
      <c r="Z6" s="121"/>
      <c r="AA6" s="61">
        <v>0.7</v>
      </c>
      <c r="AB6" s="128">
        <v>1</v>
      </c>
    </row>
    <row r="7" spans="1:28" ht="12.75">
      <c r="A7" s="184"/>
      <c r="B7" s="187"/>
      <c r="C7" s="25">
        <v>37962</v>
      </c>
      <c r="D7" s="25" t="s">
        <v>71</v>
      </c>
      <c r="E7" s="56" t="s">
        <v>72</v>
      </c>
      <c r="F7" s="61">
        <f t="shared" si="2"/>
        <v>3.0999999999999996</v>
      </c>
      <c r="G7" s="120">
        <f t="shared" si="3"/>
        <v>5</v>
      </c>
      <c r="H7" s="121"/>
      <c r="I7" s="61">
        <v>0.7</v>
      </c>
      <c r="J7" s="121"/>
      <c r="K7" s="61">
        <v>0.7</v>
      </c>
      <c r="L7" s="147"/>
      <c r="M7" s="61">
        <v>0.7</v>
      </c>
      <c r="N7" s="121"/>
      <c r="O7" s="61">
        <v>0</v>
      </c>
      <c r="P7" s="121"/>
      <c r="Q7" s="61">
        <v>0</v>
      </c>
      <c r="R7" s="121"/>
      <c r="S7" s="61"/>
      <c r="T7" s="121"/>
      <c r="U7" s="61"/>
      <c r="V7" s="121"/>
      <c r="W7" s="61"/>
      <c r="X7" s="121"/>
      <c r="Y7" s="61"/>
      <c r="Z7" s="121"/>
      <c r="AA7" s="61"/>
      <c r="AB7" s="128">
        <v>1</v>
      </c>
    </row>
    <row r="8" spans="1:28" ht="12.75">
      <c r="A8" s="184"/>
      <c r="B8" s="187"/>
      <c r="C8" s="24">
        <v>4898</v>
      </c>
      <c r="D8" s="24" t="s">
        <v>73</v>
      </c>
      <c r="E8" s="54" t="s">
        <v>74</v>
      </c>
      <c r="F8" s="59">
        <f t="shared" si="2"/>
        <v>3.0999999999999996</v>
      </c>
      <c r="G8" s="120">
        <f t="shared" si="3"/>
        <v>5</v>
      </c>
      <c r="H8" s="121"/>
      <c r="I8" s="61">
        <v>0.7</v>
      </c>
      <c r="J8" s="121"/>
      <c r="K8" s="61">
        <v>0.7</v>
      </c>
      <c r="L8" s="121"/>
      <c r="M8" s="61">
        <v>0.7</v>
      </c>
      <c r="N8" s="121"/>
      <c r="O8" s="61">
        <v>0</v>
      </c>
      <c r="P8" s="121"/>
      <c r="Q8" s="61">
        <v>0</v>
      </c>
      <c r="R8" s="121"/>
      <c r="S8" s="61"/>
      <c r="T8" s="121"/>
      <c r="U8" s="61"/>
      <c r="V8" s="121"/>
      <c r="W8" s="61"/>
      <c r="X8" s="121"/>
      <c r="Y8" s="61"/>
      <c r="Z8" s="121"/>
      <c r="AA8" s="61"/>
      <c r="AB8" s="128">
        <v>1</v>
      </c>
    </row>
    <row r="9" spans="1:28" ht="12.75">
      <c r="A9" s="184"/>
      <c r="B9" s="187"/>
      <c r="C9" s="24">
        <v>16236</v>
      </c>
      <c r="D9" s="24" t="s">
        <v>75</v>
      </c>
      <c r="E9" s="54" t="s">
        <v>76</v>
      </c>
      <c r="F9" s="59">
        <f t="shared" si="2"/>
        <v>5.9</v>
      </c>
      <c r="G9" s="120">
        <f t="shared" si="3"/>
        <v>10</v>
      </c>
      <c r="H9" s="121"/>
      <c r="I9" s="61">
        <v>0.7</v>
      </c>
      <c r="J9" s="121"/>
      <c r="K9" s="61">
        <v>0.7</v>
      </c>
      <c r="L9" s="121"/>
      <c r="M9" s="61">
        <v>0.7</v>
      </c>
      <c r="N9" s="121"/>
      <c r="O9" s="61">
        <v>0</v>
      </c>
      <c r="P9" s="121"/>
      <c r="Q9" s="61">
        <v>0</v>
      </c>
      <c r="R9" s="121"/>
      <c r="S9" s="61">
        <v>0.7</v>
      </c>
      <c r="T9" s="121"/>
      <c r="U9" s="61">
        <v>0</v>
      </c>
      <c r="V9" s="121"/>
      <c r="W9" s="61">
        <v>0.7</v>
      </c>
      <c r="X9" s="121"/>
      <c r="Y9" s="61">
        <v>0.7</v>
      </c>
      <c r="Z9" s="121"/>
      <c r="AA9" s="61">
        <v>0.7</v>
      </c>
      <c r="AB9" s="128">
        <v>1</v>
      </c>
    </row>
    <row r="10" spans="1:28" s="47" customFormat="1" ht="12.75">
      <c r="A10" s="185"/>
      <c r="B10" s="188"/>
      <c r="C10" s="45">
        <v>6780</v>
      </c>
      <c r="D10" s="45" t="s">
        <v>125</v>
      </c>
      <c r="E10" s="57" t="s">
        <v>126</v>
      </c>
      <c r="F10" s="122">
        <f t="shared" si="2"/>
        <v>3.8</v>
      </c>
      <c r="G10" s="129">
        <f t="shared" si="3"/>
        <v>5</v>
      </c>
      <c r="H10" s="121"/>
      <c r="I10" s="61"/>
      <c r="J10" s="131"/>
      <c r="K10" s="122"/>
      <c r="L10" s="121"/>
      <c r="M10" s="61"/>
      <c r="N10" s="121"/>
      <c r="O10" s="61"/>
      <c r="P10" s="121"/>
      <c r="Q10" s="61"/>
      <c r="R10" s="121"/>
      <c r="S10" s="61">
        <v>0.7</v>
      </c>
      <c r="T10" s="121"/>
      <c r="U10" s="61">
        <v>0</v>
      </c>
      <c r="V10" s="121"/>
      <c r="W10" s="61">
        <v>0.7</v>
      </c>
      <c r="X10" s="121"/>
      <c r="Y10" s="61">
        <v>0.7</v>
      </c>
      <c r="Z10" s="121"/>
      <c r="AA10" s="61">
        <v>0.7</v>
      </c>
      <c r="AB10" s="130">
        <v>1</v>
      </c>
    </row>
    <row r="11" spans="1:28" ht="12.75">
      <c r="A11" s="184" t="str">
        <f>Definisjoner!B3</f>
        <v>Bk Grand 2</v>
      </c>
      <c r="B11" s="187" t="str">
        <f>Definisjoner!C3</f>
        <v>Sunde</v>
      </c>
      <c r="C11" s="25">
        <v>13633</v>
      </c>
      <c r="D11" s="25" t="s">
        <v>77</v>
      </c>
      <c r="E11" s="56" t="s">
        <v>60</v>
      </c>
      <c r="F11" s="61">
        <f t="shared" si="2"/>
        <v>3.4999999999999996</v>
      </c>
      <c r="G11" s="124">
        <f t="shared" si="3"/>
        <v>10</v>
      </c>
      <c r="H11" s="125"/>
      <c r="I11" s="126">
        <v>0.7</v>
      </c>
      <c r="J11" s="125"/>
      <c r="K11" s="126">
        <v>0</v>
      </c>
      <c r="L11" s="125"/>
      <c r="M11" s="126">
        <v>0</v>
      </c>
      <c r="N11" s="125"/>
      <c r="O11" s="126">
        <v>0.7</v>
      </c>
      <c r="P11" s="125"/>
      <c r="Q11" s="126">
        <v>0</v>
      </c>
      <c r="R11" s="125"/>
      <c r="S11" s="126">
        <v>0</v>
      </c>
      <c r="T11" s="125"/>
      <c r="U11" s="126">
        <v>0.7</v>
      </c>
      <c r="V11" s="125"/>
      <c r="W11" s="126">
        <v>0.35</v>
      </c>
      <c r="X11" s="125"/>
      <c r="Y11" s="126">
        <v>0.7</v>
      </c>
      <c r="Z11" s="125"/>
      <c r="AA11" s="126">
        <v>0.35</v>
      </c>
      <c r="AB11" s="127"/>
    </row>
    <row r="12" spans="1:28" ht="12.75">
      <c r="A12" s="184"/>
      <c r="B12" s="187"/>
      <c r="C12" s="24">
        <v>1622</v>
      </c>
      <c r="D12" s="24" t="s">
        <v>78</v>
      </c>
      <c r="E12" s="54" t="s">
        <v>79</v>
      </c>
      <c r="F12" s="59">
        <f t="shared" si="2"/>
        <v>3.4999999999999996</v>
      </c>
      <c r="G12" s="120">
        <f t="shared" si="3"/>
        <v>10</v>
      </c>
      <c r="H12" s="147"/>
      <c r="I12" s="61">
        <v>0.7</v>
      </c>
      <c r="J12" s="147"/>
      <c r="K12" s="61">
        <v>0</v>
      </c>
      <c r="L12" s="147"/>
      <c r="M12" s="61">
        <v>0</v>
      </c>
      <c r="N12" s="147"/>
      <c r="O12" s="61">
        <v>0.7</v>
      </c>
      <c r="P12" s="121"/>
      <c r="Q12" s="61">
        <v>0</v>
      </c>
      <c r="R12" s="147"/>
      <c r="S12" s="61">
        <v>0</v>
      </c>
      <c r="T12" s="121"/>
      <c r="U12" s="61">
        <v>0.7</v>
      </c>
      <c r="V12" s="121"/>
      <c r="W12" s="61">
        <v>0.35</v>
      </c>
      <c r="X12" s="121"/>
      <c r="Y12" s="61">
        <v>0.7</v>
      </c>
      <c r="Z12" s="121"/>
      <c r="AA12" s="61">
        <v>0.35</v>
      </c>
      <c r="AB12" s="128"/>
    </row>
    <row r="13" spans="1:28" ht="12.75">
      <c r="A13" s="184"/>
      <c r="B13" s="187"/>
      <c r="C13" s="24">
        <v>4627</v>
      </c>
      <c r="D13" s="24" t="s">
        <v>80</v>
      </c>
      <c r="E13" s="54" t="s">
        <v>81</v>
      </c>
      <c r="F13" s="59">
        <f t="shared" si="2"/>
        <v>3.4999999999999996</v>
      </c>
      <c r="G13" s="120">
        <f t="shared" si="3"/>
        <v>10</v>
      </c>
      <c r="H13" s="147"/>
      <c r="I13" s="61">
        <v>0.7</v>
      </c>
      <c r="J13" s="147"/>
      <c r="K13" s="61">
        <v>0</v>
      </c>
      <c r="L13" s="147"/>
      <c r="M13" s="61">
        <v>0</v>
      </c>
      <c r="N13" s="147"/>
      <c r="O13" s="61">
        <v>0.7</v>
      </c>
      <c r="P13" s="121"/>
      <c r="Q13" s="61">
        <v>0</v>
      </c>
      <c r="R13" s="147"/>
      <c r="S13" s="61">
        <v>0</v>
      </c>
      <c r="T13" s="121"/>
      <c r="U13" s="61">
        <v>0.7</v>
      </c>
      <c r="V13" s="121"/>
      <c r="W13" s="61">
        <v>0.35</v>
      </c>
      <c r="X13" s="121"/>
      <c r="Y13" s="61">
        <v>0.7</v>
      </c>
      <c r="Z13" s="121"/>
      <c r="AA13" s="61">
        <v>0.35</v>
      </c>
      <c r="AB13" s="128"/>
    </row>
    <row r="14" spans="1:28" ht="12.75">
      <c r="A14" s="184"/>
      <c r="B14" s="187"/>
      <c r="C14" s="25">
        <v>30090</v>
      </c>
      <c r="D14" s="25" t="s">
        <v>82</v>
      </c>
      <c r="E14" s="56" t="s">
        <v>81</v>
      </c>
      <c r="F14" s="61">
        <f t="shared" si="2"/>
        <v>2.0999999999999996</v>
      </c>
      <c r="G14" s="120">
        <f t="shared" si="3"/>
        <v>5</v>
      </c>
      <c r="H14" s="121"/>
      <c r="I14" s="61"/>
      <c r="J14" s="121"/>
      <c r="K14" s="61"/>
      <c r="L14" s="121"/>
      <c r="M14" s="61"/>
      <c r="N14" s="121"/>
      <c r="O14" s="61"/>
      <c r="P14" s="121"/>
      <c r="Q14" s="61"/>
      <c r="R14" s="121"/>
      <c r="S14" s="61">
        <v>0</v>
      </c>
      <c r="T14" s="121"/>
      <c r="U14" s="61">
        <v>0.7</v>
      </c>
      <c r="V14" s="121"/>
      <c r="W14" s="61">
        <v>0.35</v>
      </c>
      <c r="X14" s="121"/>
      <c r="Y14" s="61">
        <v>0.7</v>
      </c>
      <c r="Z14" s="121"/>
      <c r="AA14" s="61">
        <v>0.35</v>
      </c>
      <c r="AB14" s="128"/>
    </row>
    <row r="15" spans="1:28" ht="12.75">
      <c r="A15" s="184"/>
      <c r="B15" s="187"/>
      <c r="C15" s="25">
        <v>5653</v>
      </c>
      <c r="D15" s="25" t="s">
        <v>105</v>
      </c>
      <c r="E15" s="56" t="s">
        <v>106</v>
      </c>
      <c r="F15" s="61">
        <f t="shared" si="2"/>
        <v>1.4</v>
      </c>
      <c r="G15" s="120">
        <f t="shared" si="3"/>
        <v>5</v>
      </c>
      <c r="H15" s="121"/>
      <c r="I15" s="61">
        <v>0.7</v>
      </c>
      <c r="J15" s="121"/>
      <c r="K15" s="61">
        <v>0</v>
      </c>
      <c r="L15" s="121"/>
      <c r="M15" s="61">
        <v>0</v>
      </c>
      <c r="N15" s="121"/>
      <c r="O15" s="61">
        <v>0.7</v>
      </c>
      <c r="P15" s="121"/>
      <c r="Q15" s="61">
        <v>0</v>
      </c>
      <c r="R15" s="121"/>
      <c r="S15" s="61"/>
      <c r="T15" s="121"/>
      <c r="U15" s="61"/>
      <c r="V15" s="121"/>
      <c r="W15" s="61"/>
      <c r="X15" s="121"/>
      <c r="Y15" s="61"/>
      <c r="Z15" s="121"/>
      <c r="AA15" s="61"/>
      <c r="AB15" s="128"/>
    </row>
    <row r="16" spans="1:28" s="47" customFormat="1" ht="12.75">
      <c r="A16" s="185"/>
      <c r="B16" s="188"/>
      <c r="C16" s="45"/>
      <c r="D16" s="45"/>
      <c r="E16" s="57"/>
      <c r="F16" s="122">
        <f t="shared" si="2"/>
      </c>
      <c r="G16" s="129">
        <f t="shared" si="3"/>
      </c>
      <c r="H16" s="131"/>
      <c r="I16" s="122"/>
      <c r="J16" s="131"/>
      <c r="K16" s="122"/>
      <c r="L16" s="131"/>
      <c r="M16" s="122"/>
      <c r="N16" s="131"/>
      <c r="O16" s="122"/>
      <c r="P16" s="131"/>
      <c r="Q16" s="122"/>
      <c r="R16" s="131"/>
      <c r="S16" s="122"/>
      <c r="T16" s="131"/>
      <c r="U16" s="122"/>
      <c r="V16" s="131"/>
      <c r="W16" s="122"/>
      <c r="X16" s="131"/>
      <c r="Y16" s="122"/>
      <c r="Z16" s="131"/>
      <c r="AA16" s="122"/>
      <c r="AB16" s="130"/>
    </row>
    <row r="17" spans="1:28" ht="12.75">
      <c r="A17" s="186" t="str">
        <f>Definisjoner!B4</f>
        <v>Bk Grand 3</v>
      </c>
      <c r="B17" s="189" t="str">
        <f>Definisjoner!C4</f>
        <v>Tafjord</v>
      </c>
      <c r="C17" s="24">
        <v>34666</v>
      </c>
      <c r="D17" s="24" t="s">
        <v>83</v>
      </c>
      <c r="E17" s="54" t="s">
        <v>62</v>
      </c>
      <c r="F17" s="59">
        <f t="shared" si="2"/>
        <v>1.0499999999999998</v>
      </c>
      <c r="G17" s="124">
        <f t="shared" si="3"/>
        <v>6</v>
      </c>
      <c r="H17" s="125"/>
      <c r="I17" s="126">
        <v>0.7</v>
      </c>
      <c r="J17" s="125"/>
      <c r="K17" s="126">
        <v>0</v>
      </c>
      <c r="L17" s="125"/>
      <c r="M17" s="126">
        <v>0</v>
      </c>
      <c r="N17" s="125"/>
      <c r="O17" s="126">
        <v>0</v>
      </c>
      <c r="P17" s="125"/>
      <c r="Q17" s="126">
        <v>0</v>
      </c>
      <c r="R17" s="125"/>
      <c r="S17" s="126">
        <v>0.35</v>
      </c>
      <c r="T17" s="125"/>
      <c r="U17" s="126"/>
      <c r="V17" s="125"/>
      <c r="W17" s="126"/>
      <c r="X17" s="125"/>
      <c r="Y17" s="126"/>
      <c r="Z17" s="125"/>
      <c r="AA17" s="126"/>
      <c r="AB17" s="127"/>
    </row>
    <row r="18" spans="1:28" ht="12.75">
      <c r="A18" s="184"/>
      <c r="B18" s="187"/>
      <c r="C18" s="24">
        <v>14769</v>
      </c>
      <c r="D18" s="24" t="s">
        <v>84</v>
      </c>
      <c r="E18" s="54" t="s">
        <v>85</v>
      </c>
      <c r="F18" s="59">
        <f t="shared" si="2"/>
        <v>0.35</v>
      </c>
      <c r="G18" s="120">
        <f t="shared" si="3"/>
        <v>1</v>
      </c>
      <c r="H18" s="121"/>
      <c r="I18" s="61"/>
      <c r="J18" s="147"/>
      <c r="K18" s="61"/>
      <c r="L18" s="121"/>
      <c r="M18" s="61"/>
      <c r="N18" s="121"/>
      <c r="O18" s="61"/>
      <c r="P18" s="121"/>
      <c r="Q18" s="61"/>
      <c r="R18" s="121"/>
      <c r="S18" s="61">
        <v>0.35</v>
      </c>
      <c r="T18" s="147"/>
      <c r="U18" s="61"/>
      <c r="V18" s="121"/>
      <c r="W18" s="61"/>
      <c r="X18" s="121"/>
      <c r="Y18" s="61"/>
      <c r="Z18" s="121"/>
      <c r="AA18" s="61"/>
      <c r="AB18" s="128"/>
    </row>
    <row r="19" spans="1:28" ht="12.75">
      <c r="A19" s="184"/>
      <c r="B19" s="187"/>
      <c r="C19" s="25">
        <v>31377</v>
      </c>
      <c r="D19" s="25" t="s">
        <v>99</v>
      </c>
      <c r="E19" s="56" t="s">
        <v>100</v>
      </c>
      <c r="F19" s="61">
        <f t="shared" si="2"/>
        <v>1.0499999999999998</v>
      </c>
      <c r="G19" s="120">
        <f t="shared" si="3"/>
        <v>6</v>
      </c>
      <c r="H19" s="121"/>
      <c r="I19" s="61">
        <v>0.7</v>
      </c>
      <c r="J19" s="147"/>
      <c r="K19" s="61">
        <v>0</v>
      </c>
      <c r="L19" s="121"/>
      <c r="M19" s="61">
        <v>0</v>
      </c>
      <c r="N19" s="121"/>
      <c r="O19" s="61">
        <v>0</v>
      </c>
      <c r="P19" s="121"/>
      <c r="Q19" s="61">
        <v>0</v>
      </c>
      <c r="R19" s="121"/>
      <c r="S19" s="61">
        <v>0.35</v>
      </c>
      <c r="T19" s="147"/>
      <c r="U19" s="61"/>
      <c r="V19" s="121"/>
      <c r="W19" s="61"/>
      <c r="X19" s="121"/>
      <c r="Y19" s="61"/>
      <c r="Z19" s="121"/>
      <c r="AA19" s="61"/>
      <c r="AB19" s="128"/>
    </row>
    <row r="20" spans="1:28" ht="12.75">
      <c r="A20" s="184"/>
      <c r="B20" s="187"/>
      <c r="C20" s="25">
        <v>22414</v>
      </c>
      <c r="D20" s="25" t="s">
        <v>101</v>
      </c>
      <c r="E20" s="56" t="s">
        <v>102</v>
      </c>
      <c r="F20" s="61">
        <f t="shared" si="2"/>
        <v>1.0499999999999998</v>
      </c>
      <c r="G20" s="120">
        <f t="shared" si="3"/>
        <v>6</v>
      </c>
      <c r="H20" s="121"/>
      <c r="I20" s="61">
        <v>0.7</v>
      </c>
      <c r="J20" s="121"/>
      <c r="K20" s="61">
        <v>0</v>
      </c>
      <c r="L20" s="121"/>
      <c r="M20" s="61">
        <v>0</v>
      </c>
      <c r="N20" s="121"/>
      <c r="O20" s="61">
        <v>0</v>
      </c>
      <c r="P20" s="121"/>
      <c r="Q20" s="61">
        <v>0</v>
      </c>
      <c r="R20" s="121"/>
      <c r="S20" s="61">
        <v>0.35</v>
      </c>
      <c r="T20" s="121"/>
      <c r="U20" s="61"/>
      <c r="V20" s="121"/>
      <c r="W20" s="61"/>
      <c r="X20" s="121"/>
      <c r="Y20" s="61"/>
      <c r="Z20" s="121"/>
      <c r="AA20" s="61"/>
      <c r="AB20" s="128"/>
    </row>
    <row r="21" spans="1:28" ht="12.75">
      <c r="A21" s="184"/>
      <c r="B21" s="187"/>
      <c r="C21" s="25">
        <v>18265</v>
      </c>
      <c r="D21" s="25" t="s">
        <v>103</v>
      </c>
      <c r="E21" s="56" t="s">
        <v>104</v>
      </c>
      <c r="F21" s="61">
        <f t="shared" si="2"/>
        <v>0.7</v>
      </c>
      <c r="G21" s="120">
        <f t="shared" si="3"/>
        <v>5</v>
      </c>
      <c r="H21" s="121"/>
      <c r="I21" s="61">
        <v>0.7</v>
      </c>
      <c r="J21" s="121"/>
      <c r="K21" s="61">
        <v>0</v>
      </c>
      <c r="L21" s="121"/>
      <c r="M21" s="61">
        <v>0</v>
      </c>
      <c r="N21" s="121"/>
      <c r="O21" s="61">
        <v>0</v>
      </c>
      <c r="P21" s="121"/>
      <c r="Q21" s="61">
        <v>0</v>
      </c>
      <c r="R21" s="121"/>
      <c r="S21" s="61"/>
      <c r="T21" s="121"/>
      <c r="U21" s="61"/>
      <c r="V21" s="121"/>
      <c r="W21" s="61"/>
      <c r="X21" s="121"/>
      <c r="Y21" s="61"/>
      <c r="Z21" s="121"/>
      <c r="AA21" s="61"/>
      <c r="AB21" s="128"/>
    </row>
    <row r="22" spans="1:28" s="47" customFormat="1" ht="12.75">
      <c r="A22" s="185"/>
      <c r="B22" s="188"/>
      <c r="C22" s="44"/>
      <c r="D22" s="44"/>
      <c r="E22" s="55"/>
      <c r="F22" s="123">
        <f t="shared" si="2"/>
      </c>
      <c r="G22" s="129">
        <f t="shared" si="3"/>
      </c>
      <c r="H22" s="121"/>
      <c r="I22" s="61"/>
      <c r="J22" s="121"/>
      <c r="K22" s="61"/>
      <c r="L22" s="121"/>
      <c r="M22" s="61"/>
      <c r="N22" s="121"/>
      <c r="O22" s="61"/>
      <c r="P22" s="121"/>
      <c r="Q22" s="61"/>
      <c r="R22" s="131"/>
      <c r="S22" s="122"/>
      <c r="T22" s="131"/>
      <c r="U22" s="122"/>
      <c r="V22" s="121"/>
      <c r="W22" s="61"/>
      <c r="X22" s="121"/>
      <c r="Y22" s="61"/>
      <c r="Z22" s="121"/>
      <c r="AA22" s="61"/>
      <c r="AB22" s="130"/>
    </row>
    <row r="23" spans="1:28" ht="12.75">
      <c r="A23" s="184" t="str">
        <f>Definisjoner!B5</f>
        <v>Fosnavåg</v>
      </c>
      <c r="B23" s="187" t="str">
        <f>Definisjoner!C5</f>
        <v>Langvatn</v>
      </c>
      <c r="C23" s="24">
        <v>29774</v>
      </c>
      <c r="D23" s="24" t="s">
        <v>86</v>
      </c>
      <c r="E23" s="54" t="s">
        <v>64</v>
      </c>
      <c r="F23" s="59">
        <f t="shared" si="2"/>
        <v>7.55</v>
      </c>
      <c r="G23" s="61">
        <f t="shared" si="3"/>
        <v>10</v>
      </c>
      <c r="H23" s="125"/>
      <c r="I23" s="126">
        <v>0</v>
      </c>
      <c r="J23" s="125"/>
      <c r="K23" s="126">
        <v>0.7</v>
      </c>
      <c r="L23" s="125"/>
      <c r="M23" s="126">
        <v>0.35</v>
      </c>
      <c r="N23" s="125"/>
      <c r="O23" s="126">
        <v>0.7</v>
      </c>
      <c r="P23" s="125"/>
      <c r="Q23" s="126">
        <v>0.7</v>
      </c>
      <c r="R23" s="125"/>
      <c r="S23" s="126">
        <v>0.35</v>
      </c>
      <c r="T23" s="125"/>
      <c r="U23" s="126">
        <v>0.7</v>
      </c>
      <c r="V23" s="125"/>
      <c r="W23" s="126">
        <v>0.7</v>
      </c>
      <c r="X23" s="125"/>
      <c r="Y23" s="126">
        <v>0</v>
      </c>
      <c r="Z23" s="125"/>
      <c r="AA23" s="126">
        <v>0.35</v>
      </c>
      <c r="AB23" s="132">
        <v>3</v>
      </c>
    </row>
    <row r="24" spans="1:28" ht="12.75">
      <c r="A24" s="184"/>
      <c r="B24" s="187"/>
      <c r="C24" s="25">
        <v>9290</v>
      </c>
      <c r="D24" s="25" t="s">
        <v>87</v>
      </c>
      <c r="E24" s="56" t="s">
        <v>88</v>
      </c>
      <c r="F24" s="61">
        <f t="shared" si="2"/>
        <v>7.55</v>
      </c>
      <c r="G24" s="61">
        <f t="shared" si="3"/>
        <v>10</v>
      </c>
      <c r="H24" s="147"/>
      <c r="I24" s="61">
        <v>0</v>
      </c>
      <c r="J24" s="147"/>
      <c r="K24" s="61">
        <v>0.7</v>
      </c>
      <c r="L24" s="147"/>
      <c r="M24" s="61">
        <v>0.35</v>
      </c>
      <c r="N24" s="147"/>
      <c r="O24" s="61">
        <v>0.7</v>
      </c>
      <c r="P24" s="147"/>
      <c r="Q24" s="61">
        <v>0.7</v>
      </c>
      <c r="R24" s="147"/>
      <c r="S24" s="61">
        <v>0.35</v>
      </c>
      <c r="T24" s="121"/>
      <c r="U24" s="61">
        <v>0.7</v>
      </c>
      <c r="V24" s="147"/>
      <c r="W24" s="61">
        <v>0.7</v>
      </c>
      <c r="X24" s="147"/>
      <c r="Y24" s="61">
        <v>0</v>
      </c>
      <c r="Z24" s="147"/>
      <c r="AA24" s="61">
        <v>0.35</v>
      </c>
      <c r="AB24" s="132">
        <v>3</v>
      </c>
    </row>
    <row r="25" spans="1:28" ht="12.75">
      <c r="A25" s="184"/>
      <c r="B25" s="187"/>
      <c r="C25" s="25">
        <v>24927</v>
      </c>
      <c r="D25" s="25" t="s">
        <v>89</v>
      </c>
      <c r="E25" s="56" t="s">
        <v>90</v>
      </c>
      <c r="F25" s="61">
        <f t="shared" si="2"/>
        <v>7.55</v>
      </c>
      <c r="G25" s="61">
        <f t="shared" si="3"/>
        <v>10</v>
      </c>
      <c r="H25" s="147"/>
      <c r="I25" s="61">
        <v>0</v>
      </c>
      <c r="J25" s="147"/>
      <c r="K25" s="61">
        <v>0.7</v>
      </c>
      <c r="L25" s="147"/>
      <c r="M25" s="61">
        <v>0.35</v>
      </c>
      <c r="N25" s="147"/>
      <c r="O25" s="61">
        <v>0.7</v>
      </c>
      <c r="P25" s="147"/>
      <c r="Q25" s="61">
        <v>0.7</v>
      </c>
      <c r="R25" s="147"/>
      <c r="S25" s="61">
        <v>0.35</v>
      </c>
      <c r="T25" s="121"/>
      <c r="U25" s="61">
        <v>0.7</v>
      </c>
      <c r="V25" s="147"/>
      <c r="W25" s="61">
        <v>0.7</v>
      </c>
      <c r="X25" s="147"/>
      <c r="Y25" s="61">
        <v>0</v>
      </c>
      <c r="Z25" s="147"/>
      <c r="AA25" s="61">
        <v>0.35</v>
      </c>
      <c r="AB25" s="132">
        <v>3</v>
      </c>
    </row>
    <row r="26" spans="1:28" ht="12.75">
      <c r="A26" s="184"/>
      <c r="B26" s="187"/>
      <c r="C26" s="24">
        <v>37908</v>
      </c>
      <c r="D26" s="25" t="s">
        <v>107</v>
      </c>
      <c r="E26" s="54" t="s">
        <v>108</v>
      </c>
      <c r="F26" s="59">
        <f t="shared" si="2"/>
        <v>7.55</v>
      </c>
      <c r="G26" s="61">
        <v>0</v>
      </c>
      <c r="H26" s="121"/>
      <c r="I26" s="61">
        <v>0</v>
      </c>
      <c r="J26" s="121"/>
      <c r="K26" s="61">
        <v>0.7</v>
      </c>
      <c r="L26" s="121"/>
      <c r="M26" s="61">
        <v>0.35</v>
      </c>
      <c r="N26" s="121"/>
      <c r="O26" s="61">
        <v>0.7</v>
      </c>
      <c r="P26" s="121"/>
      <c r="Q26" s="61">
        <v>0.7</v>
      </c>
      <c r="R26" s="121"/>
      <c r="S26" s="61">
        <v>0.35</v>
      </c>
      <c r="T26" s="121"/>
      <c r="U26" s="61">
        <v>0.7</v>
      </c>
      <c r="V26" s="121"/>
      <c r="W26" s="61">
        <v>0.7</v>
      </c>
      <c r="X26" s="121"/>
      <c r="Y26" s="61">
        <v>0</v>
      </c>
      <c r="Z26" s="121"/>
      <c r="AA26" s="61">
        <v>0.35</v>
      </c>
      <c r="AB26" s="132">
        <v>3</v>
      </c>
    </row>
    <row r="27" spans="1:28" ht="12.75">
      <c r="A27" s="184"/>
      <c r="B27" s="187"/>
      <c r="C27" s="25"/>
      <c r="D27" s="25"/>
      <c r="E27" s="56"/>
      <c r="F27" s="61">
        <f t="shared" si="2"/>
      </c>
      <c r="G27" s="61">
        <f t="shared" si="3"/>
      </c>
      <c r="H27" s="121"/>
      <c r="I27" s="61"/>
      <c r="J27" s="121"/>
      <c r="K27" s="61"/>
      <c r="L27" s="121"/>
      <c r="M27" s="61"/>
      <c r="N27" s="121"/>
      <c r="O27" s="61"/>
      <c r="P27" s="121"/>
      <c r="Q27" s="61"/>
      <c r="R27" s="121"/>
      <c r="S27" s="61"/>
      <c r="T27" s="121"/>
      <c r="U27" s="61"/>
      <c r="V27" s="121"/>
      <c r="W27" s="61"/>
      <c r="X27" s="121"/>
      <c r="Y27" s="61"/>
      <c r="Z27" s="121"/>
      <c r="AA27" s="61"/>
      <c r="AB27" s="132"/>
    </row>
    <row r="28" spans="1:28" s="47" customFormat="1" ht="12.75">
      <c r="A28" s="185"/>
      <c r="B28" s="188"/>
      <c r="C28" s="45"/>
      <c r="D28" s="45"/>
      <c r="E28" s="57"/>
      <c r="F28" s="122">
        <f t="shared" si="2"/>
      </c>
      <c r="G28" s="61">
        <f t="shared" si="3"/>
      </c>
      <c r="H28" s="131"/>
      <c r="I28" s="122"/>
      <c r="J28" s="131"/>
      <c r="K28" s="122"/>
      <c r="L28" s="131"/>
      <c r="M28" s="122"/>
      <c r="N28" s="131"/>
      <c r="O28" s="122"/>
      <c r="P28" s="131"/>
      <c r="Q28" s="122"/>
      <c r="R28" s="131"/>
      <c r="S28" s="122"/>
      <c r="T28" s="131"/>
      <c r="U28" s="122"/>
      <c r="V28" s="131"/>
      <c r="W28" s="122"/>
      <c r="X28" s="131"/>
      <c r="Y28" s="122"/>
      <c r="Z28" s="131"/>
      <c r="AA28" s="122"/>
      <c r="AB28" s="132"/>
    </row>
    <row r="29" spans="1:28" ht="12.75">
      <c r="A29" s="186" t="str">
        <f>Definisjoner!B6</f>
        <v>Ulstein</v>
      </c>
      <c r="B29" s="187" t="str">
        <f>Definisjoner!C6</f>
        <v>Søvikhagen</v>
      </c>
      <c r="C29" s="24">
        <v>9016</v>
      </c>
      <c r="D29" s="24" t="s">
        <v>95</v>
      </c>
      <c r="E29" s="54" t="s">
        <v>66</v>
      </c>
      <c r="F29" s="59">
        <f t="shared" si="2"/>
        <v>3.8499999999999996</v>
      </c>
      <c r="G29" s="124">
        <f t="shared" si="3"/>
        <v>10</v>
      </c>
      <c r="H29" s="125"/>
      <c r="I29" s="126">
        <v>0</v>
      </c>
      <c r="J29" s="144"/>
      <c r="K29" s="144">
        <v>0.7</v>
      </c>
      <c r="L29" s="125"/>
      <c r="M29" s="126">
        <v>0.35</v>
      </c>
      <c r="N29" s="125"/>
      <c r="O29" s="126">
        <v>0</v>
      </c>
      <c r="P29" s="125"/>
      <c r="Q29" s="126">
        <v>0.7</v>
      </c>
      <c r="R29" s="125"/>
      <c r="S29" s="126">
        <v>0.7</v>
      </c>
      <c r="T29" s="125"/>
      <c r="U29" s="126">
        <v>0.7</v>
      </c>
      <c r="V29" s="125"/>
      <c r="W29" s="126">
        <v>0</v>
      </c>
      <c r="X29" s="121"/>
      <c r="Y29" s="61">
        <v>0.7</v>
      </c>
      <c r="Z29" s="125"/>
      <c r="AA29" s="126">
        <v>0</v>
      </c>
      <c r="AB29" s="127"/>
    </row>
    <row r="30" spans="1:28" ht="12.75">
      <c r="A30" s="184"/>
      <c r="B30" s="187"/>
      <c r="C30" s="25">
        <v>8869</v>
      </c>
      <c r="D30" s="25" t="s">
        <v>96</v>
      </c>
      <c r="E30" s="56" t="s">
        <v>97</v>
      </c>
      <c r="F30" s="61">
        <f t="shared" si="2"/>
        <v>3.8499999999999996</v>
      </c>
      <c r="G30" s="120">
        <f t="shared" si="3"/>
        <v>10</v>
      </c>
      <c r="H30" s="121"/>
      <c r="I30" s="61">
        <v>0</v>
      </c>
      <c r="J30" s="144"/>
      <c r="K30" s="144">
        <v>0.7</v>
      </c>
      <c r="L30" s="121"/>
      <c r="M30" s="61">
        <v>0.35</v>
      </c>
      <c r="N30" s="147"/>
      <c r="O30" s="61">
        <v>0</v>
      </c>
      <c r="P30" s="121"/>
      <c r="Q30" s="61">
        <v>0.7</v>
      </c>
      <c r="S30" s="48">
        <v>0.7</v>
      </c>
      <c r="U30" s="48">
        <v>0.7</v>
      </c>
      <c r="V30" s="23"/>
      <c r="W30" s="48">
        <v>0</v>
      </c>
      <c r="X30" s="121"/>
      <c r="Y30" s="61">
        <v>0.7</v>
      </c>
      <c r="Z30" s="147"/>
      <c r="AA30" s="61">
        <v>0</v>
      </c>
      <c r="AB30" s="128"/>
    </row>
    <row r="31" spans="1:28" ht="12.75">
      <c r="A31" s="184"/>
      <c r="B31" s="187"/>
      <c r="C31" s="25">
        <v>32321</v>
      </c>
      <c r="D31" s="25" t="s">
        <v>109</v>
      </c>
      <c r="E31" s="56" t="s">
        <v>110</v>
      </c>
      <c r="F31" s="61">
        <f t="shared" si="2"/>
        <v>1.7499999999999998</v>
      </c>
      <c r="G31" s="120">
        <f t="shared" si="3"/>
        <v>5</v>
      </c>
      <c r="H31" s="121"/>
      <c r="I31" s="61">
        <v>0</v>
      </c>
      <c r="J31" s="144"/>
      <c r="K31" s="144">
        <v>0.7</v>
      </c>
      <c r="L31" s="121"/>
      <c r="M31" s="61">
        <v>0.35</v>
      </c>
      <c r="N31" s="147"/>
      <c r="O31" s="61">
        <v>0</v>
      </c>
      <c r="P31" s="121"/>
      <c r="Q31" s="61">
        <v>0.7</v>
      </c>
      <c r="R31" s="121"/>
      <c r="S31" s="61"/>
      <c r="T31" s="121"/>
      <c r="U31" s="61"/>
      <c r="V31" s="121"/>
      <c r="W31" s="61"/>
      <c r="X31" s="121"/>
      <c r="Y31" s="61"/>
      <c r="Z31" s="147"/>
      <c r="AA31" s="61"/>
      <c r="AB31" s="128"/>
    </row>
    <row r="32" spans="1:28" ht="12.75">
      <c r="A32" s="184"/>
      <c r="B32" s="187"/>
      <c r="C32" s="24">
        <v>13350</v>
      </c>
      <c r="D32" s="24" t="s">
        <v>111</v>
      </c>
      <c r="E32" s="54" t="s">
        <v>112</v>
      </c>
      <c r="F32" s="59">
        <f t="shared" si="2"/>
        <v>3.8499999999999996</v>
      </c>
      <c r="G32" s="120">
        <f t="shared" si="3"/>
        <v>10</v>
      </c>
      <c r="H32" s="121"/>
      <c r="I32" s="61">
        <v>0</v>
      </c>
      <c r="J32" s="144"/>
      <c r="K32" s="144">
        <v>0.7</v>
      </c>
      <c r="L32" s="121"/>
      <c r="M32" s="61">
        <v>0.35</v>
      </c>
      <c r="N32" s="121"/>
      <c r="O32" s="61">
        <v>0</v>
      </c>
      <c r="P32" s="121"/>
      <c r="Q32" s="61">
        <v>0.7</v>
      </c>
      <c r="R32" s="121"/>
      <c r="S32" s="61">
        <v>0.7</v>
      </c>
      <c r="T32" s="121"/>
      <c r="U32" s="61">
        <v>0.7</v>
      </c>
      <c r="V32" s="121"/>
      <c r="W32" s="61">
        <v>0</v>
      </c>
      <c r="X32" s="121"/>
      <c r="Y32" s="61">
        <v>0.7</v>
      </c>
      <c r="Z32" s="121"/>
      <c r="AA32" s="61">
        <v>0</v>
      </c>
      <c r="AB32" s="128"/>
    </row>
    <row r="33" spans="1:28" ht="12.75">
      <c r="A33" s="184"/>
      <c r="B33" s="187"/>
      <c r="C33" s="24">
        <v>10705</v>
      </c>
      <c r="D33" s="24" t="s">
        <v>129</v>
      </c>
      <c r="E33" s="54" t="s">
        <v>130</v>
      </c>
      <c r="F33" s="59">
        <f t="shared" si="2"/>
        <v>2.0999999999999996</v>
      </c>
      <c r="G33" s="120">
        <f t="shared" si="3"/>
        <v>5</v>
      </c>
      <c r="H33" s="121"/>
      <c r="I33" s="61"/>
      <c r="J33" s="121"/>
      <c r="K33" s="61"/>
      <c r="L33" s="121"/>
      <c r="M33" s="61"/>
      <c r="N33" s="121"/>
      <c r="O33" s="61"/>
      <c r="P33" s="121"/>
      <c r="Q33" s="61"/>
      <c r="R33" s="121"/>
      <c r="S33" s="61">
        <v>0.7</v>
      </c>
      <c r="T33" s="121"/>
      <c r="U33" s="61">
        <v>0.7</v>
      </c>
      <c r="V33" s="121"/>
      <c r="W33" s="61">
        <v>0</v>
      </c>
      <c r="X33" s="121"/>
      <c r="Y33" s="61">
        <v>0.7</v>
      </c>
      <c r="Z33" s="121"/>
      <c r="AA33" s="61">
        <v>0</v>
      </c>
      <c r="AB33" s="128"/>
    </row>
    <row r="34" spans="1:28" s="47" customFormat="1" ht="12.75">
      <c r="A34" s="185"/>
      <c r="B34" s="188"/>
      <c r="C34" s="45"/>
      <c r="D34" s="45"/>
      <c r="E34" s="57"/>
      <c r="F34" s="122">
        <f t="shared" si="2"/>
      </c>
      <c r="G34" s="129">
        <f t="shared" si="3"/>
      </c>
      <c r="H34" s="121"/>
      <c r="I34" s="61"/>
      <c r="J34" s="131"/>
      <c r="K34" s="122"/>
      <c r="L34" s="121"/>
      <c r="M34" s="61"/>
      <c r="N34" s="121"/>
      <c r="O34" s="61"/>
      <c r="P34" s="121"/>
      <c r="Q34" s="61"/>
      <c r="R34" s="121"/>
      <c r="S34" s="61"/>
      <c r="T34" s="121"/>
      <c r="U34" s="61"/>
      <c r="V34" s="121"/>
      <c r="W34" s="61"/>
      <c r="X34" s="121"/>
      <c r="Y34" s="61"/>
      <c r="Z34" s="121"/>
      <c r="AA34" s="61"/>
      <c r="AB34" s="130"/>
    </row>
    <row r="35" spans="1:28" ht="12.75">
      <c r="A35" s="184" t="str">
        <f>Definisjoner!B7</f>
        <v>Brattvåg&amp;Søvik</v>
      </c>
      <c r="B35" s="187" t="str">
        <f>Definisjoner!C7</f>
        <v>Restad</v>
      </c>
      <c r="C35" s="25">
        <v>10164</v>
      </c>
      <c r="D35" s="25" t="s">
        <v>91</v>
      </c>
      <c r="E35" s="56" t="s">
        <v>92</v>
      </c>
      <c r="F35" s="61">
        <f t="shared" si="2"/>
        <v>3.1499999999999995</v>
      </c>
      <c r="G35" s="61">
        <f t="shared" si="3"/>
        <v>10</v>
      </c>
      <c r="H35" s="125"/>
      <c r="I35" s="126">
        <v>0</v>
      </c>
      <c r="J35" s="125"/>
      <c r="K35" s="126">
        <v>0</v>
      </c>
      <c r="L35" s="125"/>
      <c r="M35" s="126">
        <v>0.7</v>
      </c>
      <c r="N35" s="125"/>
      <c r="O35" s="126">
        <v>0.7</v>
      </c>
      <c r="P35" s="125"/>
      <c r="Q35" s="126">
        <v>0.7</v>
      </c>
      <c r="R35" s="125"/>
      <c r="S35" s="126">
        <v>0</v>
      </c>
      <c r="T35" s="125"/>
      <c r="U35" s="126">
        <v>0</v>
      </c>
      <c r="V35" s="125"/>
      <c r="W35" s="126">
        <v>0.35</v>
      </c>
      <c r="X35" s="125"/>
      <c r="Y35" s="151">
        <v>0</v>
      </c>
      <c r="Z35" s="125"/>
      <c r="AA35" s="126">
        <v>0.7</v>
      </c>
      <c r="AB35" s="132"/>
    </row>
    <row r="36" spans="1:28" ht="12.75">
      <c r="A36" s="184"/>
      <c r="B36" s="187"/>
      <c r="C36" s="25">
        <v>6691</v>
      </c>
      <c r="D36" s="25" t="s">
        <v>113</v>
      </c>
      <c r="E36" s="56" t="s">
        <v>93</v>
      </c>
      <c r="F36" s="61">
        <f t="shared" si="2"/>
        <v>3.1499999999999995</v>
      </c>
      <c r="G36" s="61">
        <f t="shared" si="3"/>
        <v>10</v>
      </c>
      <c r="H36" s="121"/>
      <c r="I36" s="61">
        <v>0</v>
      </c>
      <c r="J36" s="121"/>
      <c r="K36" s="61">
        <v>0</v>
      </c>
      <c r="L36" s="147"/>
      <c r="M36" s="61">
        <v>0.7</v>
      </c>
      <c r="N36" s="121"/>
      <c r="O36" s="61">
        <v>0.7</v>
      </c>
      <c r="P36" s="147"/>
      <c r="Q36" s="61">
        <v>0.7</v>
      </c>
      <c r="R36" s="147"/>
      <c r="S36" s="61">
        <v>0</v>
      </c>
      <c r="U36" s="48">
        <v>0</v>
      </c>
      <c r="V36" s="121"/>
      <c r="W36" s="61">
        <v>0.35</v>
      </c>
      <c r="X36" s="121"/>
      <c r="Y36" s="144">
        <v>0</v>
      </c>
      <c r="Z36" s="121"/>
      <c r="AA36" s="61">
        <v>0.7</v>
      </c>
      <c r="AB36" s="132"/>
    </row>
    <row r="37" spans="1:28" ht="12.75">
      <c r="A37" s="184"/>
      <c r="B37" s="187"/>
      <c r="C37" s="24">
        <v>2955</v>
      </c>
      <c r="D37" s="24" t="s">
        <v>94</v>
      </c>
      <c r="E37" s="54" t="s">
        <v>68</v>
      </c>
      <c r="F37" s="59">
        <f t="shared" si="2"/>
        <v>3.1499999999999995</v>
      </c>
      <c r="G37" s="61">
        <f t="shared" si="3"/>
        <v>10</v>
      </c>
      <c r="H37" s="121"/>
      <c r="I37" s="61">
        <v>0</v>
      </c>
      <c r="J37" s="121"/>
      <c r="K37" s="61">
        <v>0</v>
      </c>
      <c r="L37" s="147"/>
      <c r="M37" s="61">
        <v>0.7</v>
      </c>
      <c r="N37" s="121"/>
      <c r="O37" s="61">
        <v>0.7</v>
      </c>
      <c r="P37" s="147"/>
      <c r="Q37" s="61">
        <v>0.7</v>
      </c>
      <c r="R37" s="147"/>
      <c r="S37" s="61">
        <v>0</v>
      </c>
      <c r="T37" s="121"/>
      <c r="U37" s="61">
        <v>0</v>
      </c>
      <c r="V37" s="121"/>
      <c r="W37" s="61">
        <v>0.35</v>
      </c>
      <c r="X37" s="121"/>
      <c r="Y37" s="144">
        <v>0</v>
      </c>
      <c r="Z37" s="121"/>
      <c r="AA37" s="61">
        <v>0.7</v>
      </c>
      <c r="AB37" s="132"/>
    </row>
    <row r="38" spans="1:28" ht="12.75">
      <c r="A38" s="184"/>
      <c r="B38" s="187"/>
      <c r="C38" s="24">
        <v>21715</v>
      </c>
      <c r="D38" s="24" t="s">
        <v>114</v>
      </c>
      <c r="E38" s="54" t="s">
        <v>115</v>
      </c>
      <c r="F38" s="59">
        <f t="shared" si="2"/>
        <v>3.1499999999999995</v>
      </c>
      <c r="G38" s="61">
        <v>0</v>
      </c>
      <c r="H38" s="121"/>
      <c r="I38" s="61">
        <v>0</v>
      </c>
      <c r="J38" s="121"/>
      <c r="K38" s="61">
        <v>0</v>
      </c>
      <c r="L38" s="121"/>
      <c r="M38" s="61">
        <v>0.7</v>
      </c>
      <c r="N38" s="121"/>
      <c r="O38" s="48">
        <v>0.7</v>
      </c>
      <c r="P38" s="121"/>
      <c r="Q38" s="61">
        <v>0.7</v>
      </c>
      <c r="R38" s="121"/>
      <c r="S38" s="61">
        <v>0</v>
      </c>
      <c r="T38" s="121"/>
      <c r="U38" s="61">
        <v>0</v>
      </c>
      <c r="V38" s="121"/>
      <c r="W38" s="61">
        <v>0.35</v>
      </c>
      <c r="X38" s="121"/>
      <c r="Y38" s="23">
        <v>0</v>
      </c>
      <c r="Z38" s="155"/>
      <c r="AA38" s="48">
        <v>0.7</v>
      </c>
      <c r="AB38" s="132"/>
    </row>
    <row r="39" spans="1:28" ht="12.75">
      <c r="A39" s="184"/>
      <c r="B39" s="187"/>
      <c r="C39" s="25"/>
      <c r="D39" s="25"/>
      <c r="E39" s="56"/>
      <c r="F39" s="61">
        <f t="shared" si="2"/>
      </c>
      <c r="G39" s="61">
        <f t="shared" si="3"/>
      </c>
      <c r="H39" s="121"/>
      <c r="I39" s="61"/>
      <c r="J39" s="121"/>
      <c r="K39" s="61"/>
      <c r="L39" s="121"/>
      <c r="M39" s="61"/>
      <c r="N39" s="121"/>
      <c r="O39" s="61"/>
      <c r="P39" s="121"/>
      <c r="Q39" s="61"/>
      <c r="R39" s="121"/>
      <c r="S39" s="61">
        <v>0</v>
      </c>
      <c r="T39" s="121"/>
      <c r="U39" s="61"/>
      <c r="V39" s="121"/>
      <c r="W39" s="61"/>
      <c r="X39" s="121"/>
      <c r="Y39" s="144"/>
      <c r="Z39" s="121"/>
      <c r="AA39" s="61"/>
      <c r="AB39" s="132"/>
    </row>
    <row r="40" spans="1:28" ht="12.75">
      <c r="A40" s="184"/>
      <c r="B40" s="187"/>
      <c r="C40" s="25"/>
      <c r="D40" s="25"/>
      <c r="E40" s="56"/>
      <c r="F40" s="61">
        <f t="shared" si="2"/>
      </c>
      <c r="G40" s="61">
        <f t="shared" si="3"/>
      </c>
      <c r="H40" s="121"/>
      <c r="I40" s="61"/>
      <c r="J40" s="121"/>
      <c r="K40" s="61"/>
      <c r="L40" s="121"/>
      <c r="M40" s="61"/>
      <c r="N40" s="121"/>
      <c r="O40" s="61"/>
      <c r="P40" s="121"/>
      <c r="Q40" s="61"/>
      <c r="R40" s="121"/>
      <c r="S40" s="61"/>
      <c r="T40" s="121"/>
      <c r="U40" s="61"/>
      <c r="V40" s="121"/>
      <c r="W40" s="61"/>
      <c r="X40" s="121"/>
      <c r="Y40" s="144"/>
      <c r="Z40" s="121"/>
      <c r="AA40" s="61"/>
      <c r="AB40" s="132"/>
    </row>
    <row r="41" spans="1:28" s="47" customFormat="1" ht="13.5" thickBot="1">
      <c r="A41" s="190"/>
      <c r="B41" s="191"/>
      <c r="C41" s="165"/>
      <c r="D41" s="165"/>
      <c r="E41" s="166"/>
      <c r="F41" s="134">
        <f t="shared" si="2"/>
      </c>
      <c r="G41" s="134">
        <f t="shared" si="3"/>
      </c>
      <c r="H41" s="133"/>
      <c r="I41" s="134"/>
      <c r="J41" s="133"/>
      <c r="K41" s="134"/>
      <c r="L41" s="133"/>
      <c r="M41" s="134"/>
      <c r="N41" s="133"/>
      <c r="O41" s="134"/>
      <c r="P41" s="133"/>
      <c r="Q41" s="134"/>
      <c r="R41" s="133"/>
      <c r="S41" s="134"/>
      <c r="T41" s="133"/>
      <c r="U41" s="134"/>
      <c r="V41" s="133"/>
      <c r="W41" s="134"/>
      <c r="X41" s="133"/>
      <c r="Y41" s="152"/>
      <c r="Z41" s="133"/>
      <c r="AA41" s="134"/>
      <c r="AB41" s="167"/>
    </row>
    <row r="42" spans="3:26" ht="12.75">
      <c r="C42" s="24"/>
      <c r="D42" s="24"/>
      <c r="E42" s="24"/>
      <c r="F42" s="22"/>
      <c r="G42" s="14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145"/>
      <c r="Z42" s="145"/>
    </row>
    <row r="43" spans="3:26" ht="12.75">
      <c r="C43" s="24"/>
      <c r="D43" s="24"/>
      <c r="E43" s="24"/>
      <c r="F43" s="22"/>
      <c r="G43" s="14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145"/>
      <c r="Z43" s="145"/>
    </row>
    <row r="44" spans="3:26" ht="12.75">
      <c r="C44" s="24"/>
      <c r="D44" s="24"/>
      <c r="E44" s="24"/>
      <c r="F44" s="22"/>
      <c r="G44" s="14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145"/>
      <c r="Z44" s="145"/>
    </row>
    <row r="45" spans="3:26" ht="12.75">
      <c r="C45" s="24"/>
      <c r="D45" s="24"/>
      <c r="E45" s="24"/>
      <c r="F45" s="22"/>
      <c r="G45" s="14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145"/>
      <c r="Z45" s="145"/>
    </row>
    <row r="46" spans="3:26" ht="12.75">
      <c r="C46" s="24"/>
      <c r="D46" s="24"/>
      <c r="E46" s="24"/>
      <c r="F46" s="22"/>
      <c r="G46" s="14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145"/>
      <c r="Z46" s="145"/>
    </row>
    <row r="47" spans="3:26" ht="12.75">
      <c r="C47" s="24"/>
      <c r="D47" s="24"/>
      <c r="E47" s="24"/>
      <c r="F47" s="22"/>
      <c r="G47" s="14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145"/>
      <c r="Z47" s="145"/>
    </row>
    <row r="48" spans="3:26" ht="12.75">
      <c r="C48" s="24"/>
      <c r="D48" s="24"/>
      <c r="E48" s="24"/>
      <c r="F48" s="22"/>
      <c r="G48" s="14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145"/>
      <c r="Z48" s="145"/>
    </row>
    <row r="49" spans="3:26" ht="12.75">
      <c r="C49" s="24"/>
      <c r="D49" s="24"/>
      <c r="E49" s="24"/>
      <c r="F49" s="22"/>
      <c r="G49" s="14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145"/>
      <c r="Z49" s="145"/>
    </row>
    <row r="50" spans="3:26" ht="12.75">
      <c r="C50" s="24"/>
      <c r="D50" s="24"/>
      <c r="E50" s="24"/>
      <c r="F50" s="22"/>
      <c r="G50" s="14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145"/>
      <c r="Z50" s="145"/>
    </row>
    <row r="51" spans="3:26" ht="12.75">
      <c r="C51" s="24"/>
      <c r="D51" s="24"/>
      <c r="E51" s="24"/>
      <c r="F51" s="22"/>
      <c r="G51" s="14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145"/>
      <c r="Z51" s="145"/>
    </row>
    <row r="52" spans="3:26" ht="12.75">
      <c r="C52" s="24"/>
      <c r="D52" s="24"/>
      <c r="E52" s="24"/>
      <c r="F52" s="22"/>
      <c r="G52" s="14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145"/>
      <c r="Z52" s="145"/>
    </row>
    <row r="53" spans="3:26" ht="12.75">
      <c r="C53" s="24"/>
      <c r="D53" s="24"/>
      <c r="E53" s="24"/>
      <c r="F53" s="22"/>
      <c r="G53" s="14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145"/>
      <c r="Z53" s="145"/>
    </row>
    <row r="54" spans="3:26" ht="12.75">
      <c r="C54" s="24"/>
      <c r="D54" s="24"/>
      <c r="E54" s="24"/>
      <c r="F54" s="22"/>
      <c r="G54" s="14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145"/>
      <c r="Z54" s="145"/>
    </row>
    <row r="55" spans="3:26" ht="12.75">
      <c r="C55" s="24"/>
      <c r="D55" s="24"/>
      <c r="E55" s="24"/>
      <c r="F55" s="22"/>
      <c r="G55" s="14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145"/>
      <c r="Z55" s="145"/>
    </row>
    <row r="56" spans="3:26" ht="12.75">
      <c r="C56" s="24"/>
      <c r="D56" s="24"/>
      <c r="E56" s="24"/>
      <c r="F56" s="22"/>
      <c r="G56" s="14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145"/>
      <c r="Z56" s="145"/>
    </row>
    <row r="57" spans="3:26" ht="12.75">
      <c r="C57" s="24"/>
      <c r="D57" s="24"/>
      <c r="E57" s="24"/>
      <c r="F57" s="22"/>
      <c r="G57" s="14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145"/>
      <c r="Z57" s="145"/>
    </row>
    <row r="58" spans="3:26" ht="12.75">
      <c r="C58" s="24"/>
      <c r="D58" s="24"/>
      <c r="E58" s="24"/>
      <c r="F58" s="22"/>
      <c r="G58" s="14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145"/>
      <c r="Z58" s="145"/>
    </row>
    <row r="59" spans="3:26" ht="12.75">
      <c r="C59" s="24"/>
      <c r="D59" s="24"/>
      <c r="E59" s="24"/>
      <c r="F59" s="22"/>
      <c r="G59" s="14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145"/>
      <c r="Z59" s="145"/>
    </row>
    <row r="60" spans="3:26" ht="12.75">
      <c r="C60" s="24"/>
      <c r="D60" s="24"/>
      <c r="E60" s="54"/>
      <c r="F60" s="51"/>
      <c r="G60" s="59"/>
      <c r="H60" s="26"/>
      <c r="I60" s="52"/>
      <c r="J60" s="26"/>
      <c r="K60" s="52"/>
      <c r="L60" s="26"/>
      <c r="M60" s="52"/>
      <c r="N60" s="26"/>
      <c r="O60" s="52"/>
      <c r="P60" s="26"/>
      <c r="Q60" s="52"/>
      <c r="R60" s="26"/>
      <c r="S60" s="52"/>
      <c r="T60" s="26"/>
      <c r="U60" s="52"/>
      <c r="V60" s="64"/>
      <c r="Z60" s="64"/>
    </row>
    <row r="61" spans="3:26" ht="12.75">
      <c r="C61" s="24"/>
      <c r="D61" s="24"/>
      <c r="E61" s="54"/>
      <c r="F61" s="51"/>
      <c r="G61" s="59"/>
      <c r="H61" s="26"/>
      <c r="I61" s="52"/>
      <c r="J61" s="26"/>
      <c r="K61" s="52"/>
      <c r="L61" s="26"/>
      <c r="M61" s="52"/>
      <c r="N61" s="26"/>
      <c r="O61" s="52"/>
      <c r="P61" s="26"/>
      <c r="Q61" s="52"/>
      <c r="R61" s="26"/>
      <c r="S61" s="52"/>
      <c r="T61" s="26"/>
      <c r="U61" s="52"/>
      <c r="V61" s="64"/>
      <c r="Z61" s="64"/>
    </row>
    <row r="62" spans="3:26" ht="12.75">
      <c r="C62" s="24"/>
      <c r="D62" s="24"/>
      <c r="E62" s="54"/>
      <c r="F62" s="51"/>
      <c r="G62" s="59"/>
      <c r="H62" s="26"/>
      <c r="I62" s="52"/>
      <c r="J62" s="26"/>
      <c r="K62" s="52"/>
      <c r="L62" s="26"/>
      <c r="M62" s="52"/>
      <c r="N62" s="26"/>
      <c r="O62" s="52"/>
      <c r="P62" s="26"/>
      <c r="Q62" s="52"/>
      <c r="R62" s="26"/>
      <c r="S62" s="52"/>
      <c r="T62" s="26"/>
      <c r="U62" s="52"/>
      <c r="V62" s="64"/>
      <c r="Z62" s="64"/>
    </row>
    <row r="63" spans="3:26" ht="12.75">
      <c r="C63" s="24"/>
      <c r="D63" s="24"/>
      <c r="E63" s="54"/>
      <c r="F63" s="51"/>
      <c r="G63" s="59"/>
      <c r="H63" s="26"/>
      <c r="I63" s="52"/>
      <c r="J63" s="26"/>
      <c r="K63" s="52"/>
      <c r="L63" s="26"/>
      <c r="M63" s="52"/>
      <c r="N63" s="26"/>
      <c r="O63" s="52"/>
      <c r="P63" s="26"/>
      <c r="Q63" s="52"/>
      <c r="R63" s="26"/>
      <c r="S63" s="52"/>
      <c r="T63" s="26"/>
      <c r="U63" s="52"/>
      <c r="V63" s="64"/>
      <c r="Z63" s="64"/>
    </row>
    <row r="64" spans="3:26" ht="12.75">
      <c r="C64" s="24"/>
      <c r="D64" s="24"/>
      <c r="E64" s="54"/>
      <c r="F64" s="51"/>
      <c r="G64" s="59"/>
      <c r="H64" s="26"/>
      <c r="I64" s="52"/>
      <c r="J64" s="26"/>
      <c r="K64" s="52"/>
      <c r="L64" s="26"/>
      <c r="M64" s="52"/>
      <c r="N64" s="26"/>
      <c r="O64" s="52"/>
      <c r="P64" s="26"/>
      <c r="Q64" s="52"/>
      <c r="R64" s="26"/>
      <c r="S64" s="52"/>
      <c r="T64" s="26"/>
      <c r="U64" s="52"/>
      <c r="V64" s="64"/>
      <c r="Z64" s="64"/>
    </row>
    <row r="65" spans="3:26" ht="12.75">
      <c r="C65" s="24"/>
      <c r="D65" s="24"/>
      <c r="E65" s="54"/>
      <c r="F65" s="51"/>
      <c r="G65" s="59"/>
      <c r="H65" s="26"/>
      <c r="I65" s="52"/>
      <c r="J65" s="26"/>
      <c r="K65" s="52"/>
      <c r="L65" s="26"/>
      <c r="M65" s="52"/>
      <c r="N65" s="26"/>
      <c r="O65" s="52"/>
      <c r="P65" s="26"/>
      <c r="Q65" s="52"/>
      <c r="R65" s="26"/>
      <c r="S65" s="52"/>
      <c r="T65" s="26"/>
      <c r="U65" s="52"/>
      <c r="V65" s="64"/>
      <c r="Z65" s="64"/>
    </row>
    <row r="66" spans="3:26" ht="12.75">
      <c r="C66" s="24"/>
      <c r="D66" s="24"/>
      <c r="E66" s="54"/>
      <c r="F66" s="51"/>
      <c r="G66" s="59"/>
      <c r="H66" s="26"/>
      <c r="I66" s="52"/>
      <c r="J66" s="26"/>
      <c r="K66" s="52"/>
      <c r="L66" s="26"/>
      <c r="M66" s="52"/>
      <c r="N66" s="26"/>
      <c r="O66" s="52"/>
      <c r="P66" s="26"/>
      <c r="Q66" s="52"/>
      <c r="R66" s="26"/>
      <c r="S66" s="52"/>
      <c r="T66" s="26"/>
      <c r="U66" s="52"/>
      <c r="V66" s="64"/>
      <c r="Z66" s="64"/>
    </row>
    <row r="67" spans="3:26" ht="12.75">
      <c r="C67" s="24"/>
      <c r="D67" s="24"/>
      <c r="E67" s="54"/>
      <c r="F67" s="51"/>
      <c r="G67" s="59"/>
      <c r="H67" s="26"/>
      <c r="I67" s="52"/>
      <c r="J67" s="26"/>
      <c r="K67" s="52"/>
      <c r="L67" s="26"/>
      <c r="M67" s="52"/>
      <c r="N67" s="26"/>
      <c r="O67" s="52"/>
      <c r="P67" s="26"/>
      <c r="Q67" s="52"/>
      <c r="R67" s="26"/>
      <c r="S67" s="52"/>
      <c r="T67" s="26"/>
      <c r="U67" s="52"/>
      <c r="V67" s="64"/>
      <c r="Z67" s="64"/>
    </row>
    <row r="68" spans="3:26" ht="12.75">
      <c r="C68" s="24"/>
      <c r="D68" s="24"/>
      <c r="E68" s="54"/>
      <c r="F68" s="51"/>
      <c r="G68" s="59"/>
      <c r="H68" s="26"/>
      <c r="I68" s="52"/>
      <c r="J68" s="26"/>
      <c r="K68" s="52"/>
      <c r="L68" s="26"/>
      <c r="M68" s="52"/>
      <c r="N68" s="26"/>
      <c r="O68" s="52"/>
      <c r="P68" s="26"/>
      <c r="Q68" s="52"/>
      <c r="R68" s="26"/>
      <c r="S68" s="52"/>
      <c r="T68" s="26"/>
      <c r="U68" s="52"/>
      <c r="V68" s="64"/>
      <c r="Z68" s="64"/>
    </row>
    <row r="69" spans="3:26" ht="12.75">
      <c r="C69" s="24"/>
      <c r="D69" s="24"/>
      <c r="E69" s="54"/>
      <c r="F69" s="51"/>
      <c r="G69" s="59"/>
      <c r="H69" s="26"/>
      <c r="I69" s="52"/>
      <c r="J69" s="26"/>
      <c r="K69" s="52"/>
      <c r="L69" s="26"/>
      <c r="M69" s="52"/>
      <c r="N69" s="26"/>
      <c r="O69" s="52"/>
      <c r="P69" s="26"/>
      <c r="Q69" s="52"/>
      <c r="R69" s="26"/>
      <c r="S69" s="52"/>
      <c r="T69" s="26"/>
      <c r="U69" s="52"/>
      <c r="V69" s="64"/>
      <c r="Z69" s="64"/>
    </row>
    <row r="70" spans="3:26" ht="12.75">
      <c r="C70" s="24"/>
      <c r="D70" s="24"/>
      <c r="E70" s="54"/>
      <c r="F70" s="51"/>
      <c r="G70" s="59"/>
      <c r="H70" s="26"/>
      <c r="I70" s="52"/>
      <c r="J70" s="26"/>
      <c r="K70" s="52"/>
      <c r="L70" s="26"/>
      <c r="M70" s="52"/>
      <c r="N70" s="26"/>
      <c r="O70" s="52"/>
      <c r="P70" s="26"/>
      <c r="Q70" s="52"/>
      <c r="R70" s="26"/>
      <c r="S70" s="52"/>
      <c r="T70" s="26"/>
      <c r="U70" s="52"/>
      <c r="V70" s="64"/>
      <c r="Z70" s="64"/>
    </row>
    <row r="71" spans="3:26" ht="12.75">
      <c r="C71" s="24"/>
      <c r="D71" s="24"/>
      <c r="E71" s="54"/>
      <c r="F71" s="51"/>
      <c r="G71" s="59"/>
      <c r="H71" s="26"/>
      <c r="I71" s="52"/>
      <c r="J71" s="26"/>
      <c r="K71" s="52"/>
      <c r="L71" s="26"/>
      <c r="M71" s="52"/>
      <c r="N71" s="26"/>
      <c r="O71" s="52"/>
      <c r="P71" s="26"/>
      <c r="Q71" s="52"/>
      <c r="R71" s="26"/>
      <c r="S71" s="52"/>
      <c r="T71" s="26"/>
      <c r="U71" s="52"/>
      <c r="V71" s="64"/>
      <c r="Z71" s="64"/>
    </row>
    <row r="72" spans="3:26" ht="12.75">
      <c r="C72" s="24"/>
      <c r="D72" s="24"/>
      <c r="E72" s="54"/>
      <c r="F72" s="51"/>
      <c r="G72" s="59"/>
      <c r="H72" s="26"/>
      <c r="I72" s="52"/>
      <c r="J72" s="26"/>
      <c r="K72" s="52"/>
      <c r="L72" s="26"/>
      <c r="M72" s="52"/>
      <c r="N72" s="26"/>
      <c r="O72" s="52"/>
      <c r="P72" s="26"/>
      <c r="Q72" s="52"/>
      <c r="R72" s="26"/>
      <c r="S72" s="52"/>
      <c r="T72" s="26"/>
      <c r="U72" s="52"/>
      <c r="V72" s="64"/>
      <c r="Z72" s="64"/>
    </row>
    <row r="73" spans="3:21" ht="12.75">
      <c r="C73" s="24"/>
      <c r="D73" s="24"/>
      <c r="E73" s="54"/>
      <c r="F73" s="49"/>
      <c r="G73" s="59"/>
      <c r="H73" s="27"/>
      <c r="I73" s="53"/>
      <c r="J73" s="27"/>
      <c r="K73" s="53"/>
      <c r="L73" s="27"/>
      <c r="M73" s="53"/>
      <c r="N73" s="27"/>
      <c r="O73" s="53"/>
      <c r="P73" s="27"/>
      <c r="Q73" s="53"/>
      <c r="R73" s="27"/>
      <c r="S73" s="53"/>
      <c r="T73" s="27"/>
      <c r="U73" s="53"/>
    </row>
    <row r="74" spans="3:21" ht="12.75">
      <c r="C74" s="24"/>
      <c r="D74" s="24"/>
      <c r="E74" s="54"/>
      <c r="F74" s="49"/>
      <c r="G74" s="59"/>
      <c r="H74" s="27"/>
      <c r="I74" s="53"/>
      <c r="J74" s="27"/>
      <c r="K74" s="53"/>
      <c r="L74" s="27"/>
      <c r="M74" s="53"/>
      <c r="N74" s="27"/>
      <c r="O74" s="53"/>
      <c r="P74" s="27"/>
      <c r="Q74" s="53"/>
      <c r="R74" s="27"/>
      <c r="S74" s="53"/>
      <c r="T74" s="27"/>
      <c r="U74" s="53"/>
    </row>
    <row r="75" spans="3:21" ht="12.75">
      <c r="C75" s="24"/>
      <c r="D75" s="24"/>
      <c r="E75" s="54"/>
      <c r="F75" s="49"/>
      <c r="G75" s="59"/>
      <c r="H75" s="27"/>
      <c r="I75" s="53"/>
      <c r="J75" s="27"/>
      <c r="K75" s="53"/>
      <c r="L75" s="27"/>
      <c r="M75" s="53"/>
      <c r="N75" s="27"/>
      <c r="O75" s="53"/>
      <c r="P75" s="27"/>
      <c r="Q75" s="53"/>
      <c r="R75" s="27"/>
      <c r="S75" s="53"/>
      <c r="T75" s="27"/>
      <c r="U75" s="53"/>
    </row>
    <row r="76" spans="3:21" ht="12.75">
      <c r="C76" s="24"/>
      <c r="D76" s="24"/>
      <c r="E76" s="54"/>
      <c r="F76" s="49"/>
      <c r="G76" s="59"/>
      <c r="H76" s="27"/>
      <c r="I76" s="53"/>
      <c r="J76" s="27"/>
      <c r="K76" s="53"/>
      <c r="L76" s="27"/>
      <c r="M76" s="53"/>
      <c r="N76" s="27"/>
      <c r="O76" s="53"/>
      <c r="P76" s="27"/>
      <c r="Q76" s="53"/>
      <c r="R76" s="27"/>
      <c r="S76" s="53"/>
      <c r="T76" s="27"/>
      <c r="U76" s="53"/>
    </row>
    <row r="77" spans="3:21" ht="12.75">
      <c r="C77" s="24"/>
      <c r="D77" s="24"/>
      <c r="E77" s="54"/>
      <c r="F77" s="49"/>
      <c r="G77" s="59"/>
      <c r="H77" s="27"/>
      <c r="I77" s="53"/>
      <c r="J77" s="27"/>
      <c r="K77" s="53"/>
      <c r="L77" s="27"/>
      <c r="M77" s="53"/>
      <c r="N77" s="27"/>
      <c r="O77" s="53"/>
      <c r="P77" s="27"/>
      <c r="Q77" s="53"/>
      <c r="R77" s="27"/>
      <c r="S77" s="53"/>
      <c r="T77" s="27"/>
      <c r="U77" s="53"/>
    </row>
    <row r="78" spans="3:21" ht="12.75">
      <c r="C78" s="24"/>
      <c r="D78" s="24"/>
      <c r="E78" s="54"/>
      <c r="F78" s="49"/>
      <c r="G78" s="59"/>
      <c r="H78" s="27"/>
      <c r="I78" s="53"/>
      <c r="J78" s="27"/>
      <c r="K78" s="53"/>
      <c r="L78" s="27"/>
      <c r="M78" s="53"/>
      <c r="N78" s="27"/>
      <c r="O78" s="53"/>
      <c r="P78" s="27"/>
      <c r="Q78" s="53"/>
      <c r="R78" s="27"/>
      <c r="S78" s="53"/>
      <c r="T78" s="27"/>
      <c r="U78" s="53"/>
    </row>
    <row r="79" spans="3:21" ht="12.75">
      <c r="C79" s="24"/>
      <c r="D79" s="24"/>
      <c r="E79" s="54"/>
      <c r="F79" s="49"/>
      <c r="G79" s="59"/>
      <c r="H79" s="27"/>
      <c r="I79" s="53"/>
      <c r="J79" s="27"/>
      <c r="K79" s="53"/>
      <c r="L79" s="27"/>
      <c r="M79" s="53"/>
      <c r="N79" s="27"/>
      <c r="O79" s="53"/>
      <c r="P79" s="27"/>
      <c r="Q79" s="53"/>
      <c r="R79" s="27"/>
      <c r="S79" s="53"/>
      <c r="T79" s="27"/>
      <c r="U79" s="53"/>
    </row>
    <row r="80" spans="3:21" ht="12.75">
      <c r="C80" s="24"/>
      <c r="D80" s="24"/>
      <c r="E80" s="54"/>
      <c r="F80" s="49"/>
      <c r="G80" s="59"/>
      <c r="H80" s="27"/>
      <c r="I80" s="53"/>
      <c r="J80" s="27"/>
      <c r="K80" s="53"/>
      <c r="L80" s="27"/>
      <c r="M80" s="53"/>
      <c r="N80" s="27"/>
      <c r="O80" s="53"/>
      <c r="P80" s="27"/>
      <c r="Q80" s="53"/>
      <c r="R80" s="27"/>
      <c r="S80" s="53"/>
      <c r="T80" s="27"/>
      <c r="U80" s="53"/>
    </row>
    <row r="81" spans="3:21" ht="12.75">
      <c r="C81" s="24"/>
      <c r="D81" s="24"/>
      <c r="E81" s="54"/>
      <c r="F81" s="49"/>
      <c r="G81" s="59"/>
      <c r="H81" s="27"/>
      <c r="I81" s="53"/>
      <c r="J81" s="27"/>
      <c r="K81" s="53"/>
      <c r="L81" s="27"/>
      <c r="M81" s="53"/>
      <c r="N81" s="27"/>
      <c r="O81" s="53"/>
      <c r="P81" s="27"/>
      <c r="Q81" s="53"/>
      <c r="R81" s="27"/>
      <c r="S81" s="53"/>
      <c r="T81" s="27"/>
      <c r="U81" s="53"/>
    </row>
    <row r="82" spans="3:21" ht="12.75">
      <c r="C82" s="24"/>
      <c r="D82" s="24"/>
      <c r="E82" s="54"/>
      <c r="F82" s="49"/>
      <c r="G82" s="59"/>
      <c r="H82" s="27"/>
      <c r="I82" s="53"/>
      <c r="J82" s="27"/>
      <c r="K82" s="53"/>
      <c r="L82" s="27"/>
      <c r="M82" s="53"/>
      <c r="N82" s="27"/>
      <c r="O82" s="53"/>
      <c r="P82" s="27"/>
      <c r="Q82" s="53"/>
      <c r="R82" s="27"/>
      <c r="S82" s="53"/>
      <c r="T82" s="27"/>
      <c r="U82" s="53"/>
    </row>
    <row r="83" spans="3:21" ht="12.75">
      <c r="C83" s="24"/>
      <c r="D83" s="24"/>
      <c r="E83" s="54"/>
      <c r="F83" s="49"/>
      <c r="G83" s="59"/>
      <c r="H83" s="27"/>
      <c r="I83" s="53"/>
      <c r="J83" s="27"/>
      <c r="K83" s="53"/>
      <c r="L83" s="27"/>
      <c r="M83" s="53"/>
      <c r="N83" s="27"/>
      <c r="O83" s="53"/>
      <c r="P83" s="27"/>
      <c r="Q83" s="53"/>
      <c r="R83" s="27"/>
      <c r="S83" s="53"/>
      <c r="T83" s="27"/>
      <c r="U83" s="53"/>
    </row>
    <row r="84" spans="3:21" ht="12.75">
      <c r="C84" s="24"/>
      <c r="D84" s="24"/>
      <c r="E84" s="54"/>
      <c r="F84" s="49"/>
      <c r="G84" s="59"/>
      <c r="H84" s="27"/>
      <c r="I84" s="53"/>
      <c r="J84" s="27"/>
      <c r="K84" s="53"/>
      <c r="L84" s="27"/>
      <c r="M84" s="53"/>
      <c r="N84" s="27"/>
      <c r="O84" s="53"/>
      <c r="P84" s="27"/>
      <c r="Q84" s="53"/>
      <c r="R84" s="27"/>
      <c r="S84" s="53"/>
      <c r="T84" s="27"/>
      <c r="U84" s="53"/>
    </row>
    <row r="85" spans="3:21" ht="12.75">
      <c r="C85" s="24"/>
      <c r="D85" s="24"/>
      <c r="E85" s="54"/>
      <c r="F85" s="49"/>
      <c r="G85" s="59"/>
      <c r="H85" s="27"/>
      <c r="I85" s="53"/>
      <c r="J85" s="27"/>
      <c r="K85" s="53"/>
      <c r="L85" s="27"/>
      <c r="M85" s="53"/>
      <c r="N85" s="27"/>
      <c r="O85" s="53"/>
      <c r="P85" s="27"/>
      <c r="Q85" s="53"/>
      <c r="R85" s="27"/>
      <c r="S85" s="53"/>
      <c r="T85" s="27"/>
      <c r="U85" s="53"/>
    </row>
    <row r="86" spans="3:21" ht="12.75">
      <c r="C86" s="24"/>
      <c r="D86" s="24"/>
      <c r="E86" s="54"/>
      <c r="F86" s="49"/>
      <c r="G86" s="59"/>
      <c r="H86" s="27"/>
      <c r="I86" s="53"/>
      <c r="J86" s="27"/>
      <c r="K86" s="53"/>
      <c r="L86" s="27"/>
      <c r="M86" s="53"/>
      <c r="N86" s="27"/>
      <c r="O86" s="53"/>
      <c r="P86" s="27"/>
      <c r="Q86" s="53"/>
      <c r="R86" s="27"/>
      <c r="S86" s="53"/>
      <c r="T86" s="27"/>
      <c r="U86" s="53"/>
    </row>
    <row r="87" spans="3:21" ht="12.75">
      <c r="C87" s="24"/>
      <c r="D87" s="24"/>
      <c r="E87" s="54"/>
      <c r="F87" s="49"/>
      <c r="G87" s="59"/>
      <c r="H87" s="27"/>
      <c r="I87" s="53"/>
      <c r="J87" s="27"/>
      <c r="K87" s="53"/>
      <c r="L87" s="27"/>
      <c r="M87" s="53"/>
      <c r="N87" s="27"/>
      <c r="O87" s="53"/>
      <c r="P87" s="27"/>
      <c r="Q87" s="53"/>
      <c r="R87" s="27"/>
      <c r="S87" s="53"/>
      <c r="T87" s="27"/>
      <c r="U87" s="53"/>
    </row>
    <row r="88" spans="3:21" ht="12.75">
      <c r="C88" s="24"/>
      <c r="D88" s="24"/>
      <c r="E88" s="54"/>
      <c r="F88" s="49"/>
      <c r="G88" s="59"/>
      <c r="H88" s="27"/>
      <c r="I88" s="53"/>
      <c r="J88" s="27"/>
      <c r="K88" s="53"/>
      <c r="L88" s="27"/>
      <c r="M88" s="53"/>
      <c r="N88" s="27"/>
      <c r="O88" s="53"/>
      <c r="P88" s="27"/>
      <c r="Q88" s="53"/>
      <c r="R88" s="27"/>
      <c r="S88" s="53"/>
      <c r="T88" s="27"/>
      <c r="U88" s="53"/>
    </row>
    <row r="89" spans="3:21" ht="12.75">
      <c r="C89" s="24"/>
      <c r="D89" s="24"/>
      <c r="E89" s="54"/>
      <c r="F89" s="49"/>
      <c r="G89" s="59"/>
      <c r="H89" s="27"/>
      <c r="I89" s="53"/>
      <c r="J89" s="27"/>
      <c r="K89" s="53"/>
      <c r="L89" s="27"/>
      <c r="M89" s="53"/>
      <c r="N89" s="27"/>
      <c r="O89" s="53"/>
      <c r="P89" s="27"/>
      <c r="Q89" s="53"/>
      <c r="R89" s="27"/>
      <c r="S89" s="53"/>
      <c r="T89" s="27"/>
      <c r="U89" s="53"/>
    </row>
    <row r="90" spans="3:21" ht="12.75">
      <c r="C90" s="24"/>
      <c r="D90" s="24"/>
      <c r="E90" s="54"/>
      <c r="F90" s="49"/>
      <c r="G90" s="59"/>
      <c r="H90" s="27"/>
      <c r="I90" s="53"/>
      <c r="J90" s="27"/>
      <c r="K90" s="53"/>
      <c r="L90" s="27"/>
      <c r="M90" s="53"/>
      <c r="N90" s="27"/>
      <c r="O90" s="53"/>
      <c r="P90" s="27"/>
      <c r="Q90" s="53"/>
      <c r="R90" s="27"/>
      <c r="S90" s="53"/>
      <c r="T90" s="27"/>
      <c r="U90" s="53"/>
    </row>
    <row r="91" spans="3:21" ht="12.75">
      <c r="C91" s="24"/>
      <c r="D91" s="24"/>
      <c r="E91" s="54"/>
      <c r="F91" s="49"/>
      <c r="G91" s="59"/>
      <c r="H91" s="27"/>
      <c r="I91" s="53"/>
      <c r="J91" s="27"/>
      <c r="K91" s="53"/>
      <c r="L91" s="27"/>
      <c r="M91" s="53"/>
      <c r="N91" s="27"/>
      <c r="O91" s="53"/>
      <c r="P91" s="27"/>
      <c r="Q91" s="53"/>
      <c r="R91" s="27"/>
      <c r="S91" s="53"/>
      <c r="T91" s="27"/>
      <c r="U91" s="53"/>
    </row>
    <row r="92" spans="3:21" ht="12.75">
      <c r="C92" s="24"/>
      <c r="D92" s="24"/>
      <c r="E92" s="54"/>
      <c r="F92" s="49"/>
      <c r="G92" s="59"/>
      <c r="H92" s="27"/>
      <c r="I92" s="53"/>
      <c r="J92" s="27"/>
      <c r="K92" s="53"/>
      <c r="L92" s="27"/>
      <c r="M92" s="53"/>
      <c r="N92" s="27"/>
      <c r="O92" s="53"/>
      <c r="P92" s="27"/>
      <c r="Q92" s="53"/>
      <c r="R92" s="27"/>
      <c r="S92" s="53"/>
      <c r="T92" s="27"/>
      <c r="U92" s="53"/>
    </row>
    <row r="93" spans="3:21" ht="12.75">
      <c r="C93" s="24"/>
      <c r="D93" s="24"/>
      <c r="E93" s="54"/>
      <c r="F93" s="49"/>
      <c r="G93" s="59"/>
      <c r="H93" s="27"/>
      <c r="I93" s="53"/>
      <c r="J93" s="27"/>
      <c r="K93" s="53"/>
      <c r="L93" s="27"/>
      <c r="M93" s="53"/>
      <c r="N93" s="27"/>
      <c r="O93" s="53"/>
      <c r="P93" s="27"/>
      <c r="Q93" s="53"/>
      <c r="R93" s="27"/>
      <c r="S93" s="53"/>
      <c r="T93" s="27"/>
      <c r="U93" s="53"/>
    </row>
    <row r="94" spans="3:21" ht="12.75">
      <c r="C94" s="24"/>
      <c r="D94" s="24"/>
      <c r="E94" s="54"/>
      <c r="F94" s="49"/>
      <c r="G94" s="59"/>
      <c r="H94" s="27"/>
      <c r="I94" s="53"/>
      <c r="J94" s="27"/>
      <c r="K94" s="53"/>
      <c r="L94" s="27"/>
      <c r="M94" s="53"/>
      <c r="N94" s="27"/>
      <c r="O94" s="53"/>
      <c r="P94" s="27"/>
      <c r="Q94" s="53"/>
      <c r="R94" s="27"/>
      <c r="S94" s="53"/>
      <c r="T94" s="27"/>
      <c r="U94" s="53"/>
    </row>
    <row r="95" spans="3:21" ht="12.75">
      <c r="C95" s="24"/>
      <c r="D95" s="24"/>
      <c r="E95" s="54"/>
      <c r="F95" s="49"/>
      <c r="G95" s="59"/>
      <c r="H95" s="27"/>
      <c r="I95" s="53"/>
      <c r="J95" s="27"/>
      <c r="K95" s="53"/>
      <c r="L95" s="27"/>
      <c r="M95" s="53"/>
      <c r="N95" s="27"/>
      <c r="O95" s="53"/>
      <c r="P95" s="27"/>
      <c r="Q95" s="53"/>
      <c r="R95" s="27"/>
      <c r="S95" s="53"/>
      <c r="T95" s="27"/>
      <c r="U95" s="53"/>
    </row>
    <row r="96" spans="3:21" ht="12.75">
      <c r="C96" s="24"/>
      <c r="D96" s="24"/>
      <c r="E96" s="54"/>
      <c r="F96" s="49"/>
      <c r="G96" s="59"/>
      <c r="H96" s="27"/>
      <c r="I96" s="53"/>
      <c r="J96" s="27"/>
      <c r="K96" s="53"/>
      <c r="L96" s="27"/>
      <c r="M96" s="53"/>
      <c r="N96" s="27"/>
      <c r="O96" s="53"/>
      <c r="P96" s="27"/>
      <c r="Q96" s="53"/>
      <c r="R96" s="27"/>
      <c r="S96" s="53"/>
      <c r="T96" s="27"/>
      <c r="U96" s="53"/>
    </row>
    <row r="97" spans="3:21" ht="12.75">
      <c r="C97" s="24"/>
      <c r="D97" s="24"/>
      <c r="E97" s="54"/>
      <c r="F97" s="49"/>
      <c r="G97" s="59"/>
      <c r="H97" s="27"/>
      <c r="I97" s="53"/>
      <c r="J97" s="27"/>
      <c r="K97" s="53"/>
      <c r="L97" s="27"/>
      <c r="M97" s="53"/>
      <c r="N97" s="27"/>
      <c r="O97" s="53"/>
      <c r="P97" s="27"/>
      <c r="Q97" s="53"/>
      <c r="R97" s="27"/>
      <c r="S97" s="53"/>
      <c r="T97" s="27"/>
      <c r="U97" s="53"/>
    </row>
    <row r="98" spans="3:21" ht="12.75">
      <c r="C98" s="24"/>
      <c r="D98" s="24"/>
      <c r="E98" s="54"/>
      <c r="F98" s="49"/>
      <c r="G98" s="59"/>
      <c r="H98" s="27"/>
      <c r="I98" s="53"/>
      <c r="J98" s="27"/>
      <c r="K98" s="53"/>
      <c r="L98" s="27"/>
      <c r="M98" s="53"/>
      <c r="N98" s="27"/>
      <c r="O98" s="53"/>
      <c r="P98" s="27"/>
      <c r="Q98" s="53"/>
      <c r="R98" s="27"/>
      <c r="S98" s="53"/>
      <c r="T98" s="27"/>
      <c r="U98" s="53"/>
    </row>
    <row r="99" spans="3:21" ht="12.75">
      <c r="C99" s="24"/>
      <c r="D99" s="24"/>
      <c r="E99" s="54"/>
      <c r="F99" s="49"/>
      <c r="G99" s="59"/>
      <c r="H99" s="27"/>
      <c r="I99" s="53"/>
      <c r="J99" s="27"/>
      <c r="K99" s="53"/>
      <c r="L99" s="27"/>
      <c r="M99" s="53"/>
      <c r="N99" s="27"/>
      <c r="O99" s="53"/>
      <c r="P99" s="27"/>
      <c r="Q99" s="53"/>
      <c r="R99" s="27"/>
      <c r="S99" s="53"/>
      <c r="T99" s="27"/>
      <c r="U99" s="53"/>
    </row>
    <row r="100" spans="3:21" ht="12.75">
      <c r="C100" s="24"/>
      <c r="D100" s="24"/>
      <c r="E100" s="54"/>
      <c r="F100" s="49"/>
      <c r="G100" s="59"/>
      <c r="H100" s="27"/>
      <c r="I100" s="53"/>
      <c r="J100" s="27"/>
      <c r="K100" s="53"/>
      <c r="L100" s="27"/>
      <c r="M100" s="53"/>
      <c r="N100" s="27"/>
      <c r="O100" s="53"/>
      <c r="P100" s="27"/>
      <c r="Q100" s="53"/>
      <c r="R100" s="27"/>
      <c r="S100" s="53"/>
      <c r="T100" s="27"/>
      <c r="U100" s="53"/>
    </row>
    <row r="101" spans="3:21" ht="12.75">
      <c r="C101" s="24"/>
      <c r="D101" s="24"/>
      <c r="E101" s="54"/>
      <c r="F101" s="49"/>
      <c r="G101" s="59"/>
      <c r="H101" s="27"/>
      <c r="I101" s="53"/>
      <c r="J101" s="27"/>
      <c r="K101" s="53"/>
      <c r="L101" s="27"/>
      <c r="M101" s="53"/>
      <c r="N101" s="27"/>
      <c r="O101" s="53"/>
      <c r="P101" s="27"/>
      <c r="Q101" s="53"/>
      <c r="R101" s="27"/>
      <c r="S101" s="53"/>
      <c r="T101" s="27"/>
      <c r="U101" s="53"/>
    </row>
    <row r="102" spans="3:21" ht="12.75">
      <c r="C102" s="24"/>
      <c r="D102" s="24"/>
      <c r="E102" s="54"/>
      <c r="F102" s="49"/>
      <c r="G102" s="59"/>
      <c r="H102" s="27"/>
      <c r="I102" s="53"/>
      <c r="J102" s="27"/>
      <c r="K102" s="53"/>
      <c r="L102" s="27"/>
      <c r="M102" s="53"/>
      <c r="N102" s="27"/>
      <c r="O102" s="53"/>
      <c r="P102" s="27"/>
      <c r="Q102" s="53"/>
      <c r="R102" s="27"/>
      <c r="S102" s="53"/>
      <c r="T102" s="27"/>
      <c r="U102" s="53"/>
    </row>
    <row r="103" spans="3:21" ht="12.75">
      <c r="C103" s="24"/>
      <c r="D103" s="24"/>
      <c r="E103" s="54"/>
      <c r="F103" s="49"/>
      <c r="G103" s="59"/>
      <c r="H103" s="27"/>
      <c r="I103" s="53"/>
      <c r="J103" s="27"/>
      <c r="K103" s="53"/>
      <c r="L103" s="27"/>
      <c r="M103" s="53"/>
      <c r="N103" s="27"/>
      <c r="O103" s="53"/>
      <c r="P103" s="27"/>
      <c r="Q103" s="53"/>
      <c r="R103" s="27"/>
      <c r="S103" s="53"/>
      <c r="T103" s="27"/>
      <c r="U103" s="53"/>
    </row>
    <row r="104" spans="3:21" ht="12.75">
      <c r="C104" s="24"/>
      <c r="D104" s="24"/>
      <c r="E104" s="54"/>
      <c r="F104" s="49"/>
      <c r="G104" s="59"/>
      <c r="H104" s="27"/>
      <c r="I104" s="53"/>
      <c r="J104" s="27"/>
      <c r="K104" s="53"/>
      <c r="L104" s="27"/>
      <c r="M104" s="53"/>
      <c r="N104" s="27"/>
      <c r="O104" s="53"/>
      <c r="P104" s="27"/>
      <c r="Q104" s="53"/>
      <c r="R104" s="27"/>
      <c r="S104" s="53"/>
      <c r="T104" s="27"/>
      <c r="U104" s="53"/>
    </row>
    <row r="105" spans="3:21" ht="12.75">
      <c r="C105" s="24"/>
      <c r="D105" s="24"/>
      <c r="E105" s="54"/>
      <c r="F105" s="49"/>
      <c r="G105" s="59"/>
      <c r="H105" s="27"/>
      <c r="I105" s="53"/>
      <c r="J105" s="27"/>
      <c r="K105" s="53"/>
      <c r="L105" s="27"/>
      <c r="M105" s="53"/>
      <c r="N105" s="27"/>
      <c r="O105" s="53"/>
      <c r="P105" s="27"/>
      <c r="Q105" s="53"/>
      <c r="R105" s="27"/>
      <c r="S105" s="53"/>
      <c r="T105" s="27"/>
      <c r="U105" s="53"/>
    </row>
    <row r="106" spans="3:21" ht="12.75">
      <c r="C106" s="24"/>
      <c r="D106" s="24"/>
      <c r="E106" s="54"/>
      <c r="F106" s="49"/>
      <c r="G106" s="59"/>
      <c r="H106" s="27"/>
      <c r="I106" s="53"/>
      <c r="J106" s="27"/>
      <c r="K106" s="53"/>
      <c r="L106" s="27"/>
      <c r="M106" s="53"/>
      <c r="N106" s="27"/>
      <c r="O106" s="53"/>
      <c r="P106" s="27"/>
      <c r="Q106" s="53"/>
      <c r="R106" s="27"/>
      <c r="S106" s="53"/>
      <c r="T106" s="27"/>
      <c r="U106" s="53"/>
    </row>
    <row r="107" spans="3:21" ht="12.75">
      <c r="C107" s="24"/>
      <c r="D107" s="24"/>
      <c r="E107" s="54"/>
      <c r="F107" s="49"/>
      <c r="G107" s="59"/>
      <c r="H107" s="27"/>
      <c r="I107" s="53"/>
      <c r="J107" s="27"/>
      <c r="K107" s="53"/>
      <c r="L107" s="27"/>
      <c r="M107" s="53"/>
      <c r="N107" s="27"/>
      <c r="O107" s="53"/>
      <c r="P107" s="27"/>
      <c r="Q107" s="53"/>
      <c r="R107" s="27"/>
      <c r="S107" s="53"/>
      <c r="T107" s="27"/>
      <c r="U107" s="53"/>
    </row>
    <row r="108" spans="3:21" ht="12.75">
      <c r="C108" s="24"/>
      <c r="D108" s="24"/>
      <c r="E108" s="54"/>
      <c r="F108" s="49"/>
      <c r="G108" s="59"/>
      <c r="H108" s="27"/>
      <c r="I108" s="53"/>
      <c r="J108" s="27"/>
      <c r="K108" s="53"/>
      <c r="L108" s="27"/>
      <c r="M108" s="53"/>
      <c r="N108" s="27"/>
      <c r="O108" s="53"/>
      <c r="P108" s="27"/>
      <c r="Q108" s="53"/>
      <c r="R108" s="27"/>
      <c r="S108" s="53"/>
      <c r="T108" s="27"/>
      <c r="U108" s="53"/>
    </row>
    <row r="109" spans="3:21" ht="12.75">
      <c r="C109" s="24"/>
      <c r="D109" s="24"/>
      <c r="E109" s="54"/>
      <c r="F109" s="49"/>
      <c r="G109" s="59"/>
      <c r="H109" s="27"/>
      <c r="I109" s="53"/>
      <c r="J109" s="27"/>
      <c r="K109" s="53"/>
      <c r="L109" s="27"/>
      <c r="M109" s="53"/>
      <c r="N109" s="27"/>
      <c r="O109" s="53"/>
      <c r="P109" s="27"/>
      <c r="Q109" s="53"/>
      <c r="R109" s="27"/>
      <c r="S109" s="53"/>
      <c r="T109" s="27"/>
      <c r="U109" s="53"/>
    </row>
    <row r="110" spans="3:21" ht="12.75">
      <c r="C110" s="24"/>
      <c r="D110" s="24"/>
      <c r="E110" s="54"/>
      <c r="F110" s="49"/>
      <c r="G110" s="59"/>
      <c r="H110" s="27"/>
      <c r="I110" s="53"/>
      <c r="J110" s="27"/>
      <c r="K110" s="53"/>
      <c r="L110" s="27"/>
      <c r="M110" s="53"/>
      <c r="N110" s="27"/>
      <c r="O110" s="53"/>
      <c r="P110" s="27"/>
      <c r="Q110" s="53"/>
      <c r="R110" s="27"/>
      <c r="S110" s="53"/>
      <c r="T110" s="27"/>
      <c r="U110" s="53"/>
    </row>
    <row r="111" spans="3:21" ht="12.75">
      <c r="C111" s="24"/>
      <c r="D111" s="24"/>
      <c r="E111" s="54"/>
      <c r="F111" s="49"/>
      <c r="G111" s="59"/>
      <c r="H111" s="27"/>
      <c r="I111" s="53"/>
      <c r="J111" s="27"/>
      <c r="K111" s="53"/>
      <c r="L111" s="27"/>
      <c r="M111" s="53"/>
      <c r="N111" s="27"/>
      <c r="O111" s="53"/>
      <c r="P111" s="27"/>
      <c r="Q111" s="53"/>
      <c r="R111" s="27"/>
      <c r="S111" s="53"/>
      <c r="T111" s="27"/>
      <c r="U111" s="53"/>
    </row>
    <row r="112" spans="3:21" ht="12.75">
      <c r="C112" s="24"/>
      <c r="D112" s="24"/>
      <c r="E112" s="54"/>
      <c r="F112" s="49"/>
      <c r="G112" s="59"/>
      <c r="H112" s="27"/>
      <c r="I112" s="53"/>
      <c r="J112" s="27"/>
      <c r="K112" s="53"/>
      <c r="L112" s="27"/>
      <c r="M112" s="53"/>
      <c r="N112" s="27"/>
      <c r="O112" s="53"/>
      <c r="P112" s="27"/>
      <c r="Q112" s="53"/>
      <c r="R112" s="27"/>
      <c r="S112" s="53"/>
      <c r="T112" s="27"/>
      <c r="U112" s="53"/>
    </row>
    <row r="113" spans="3:21" ht="12.75">
      <c r="C113" s="24"/>
      <c r="D113" s="24"/>
      <c r="E113" s="54"/>
      <c r="F113" s="49"/>
      <c r="G113" s="59"/>
      <c r="H113" s="27"/>
      <c r="I113" s="53"/>
      <c r="J113" s="27"/>
      <c r="K113" s="53"/>
      <c r="L113" s="27"/>
      <c r="M113" s="53"/>
      <c r="N113" s="27"/>
      <c r="O113" s="53"/>
      <c r="P113" s="27"/>
      <c r="Q113" s="53"/>
      <c r="R113" s="27"/>
      <c r="S113" s="53"/>
      <c r="T113" s="27"/>
      <c r="U113" s="53"/>
    </row>
    <row r="114" spans="3:21" ht="12.75">
      <c r="C114" s="24"/>
      <c r="D114" s="24"/>
      <c r="E114" s="54"/>
      <c r="F114" s="49"/>
      <c r="G114" s="59"/>
      <c r="H114" s="27"/>
      <c r="I114" s="53"/>
      <c r="J114" s="27"/>
      <c r="K114" s="53"/>
      <c r="L114" s="27"/>
      <c r="M114" s="53"/>
      <c r="N114" s="27"/>
      <c r="O114" s="53"/>
      <c r="P114" s="27"/>
      <c r="Q114" s="53"/>
      <c r="R114" s="27"/>
      <c r="S114" s="53"/>
      <c r="T114" s="27"/>
      <c r="U114" s="53"/>
    </row>
    <row r="115" spans="3:21" ht="12.75">
      <c r="C115" s="24"/>
      <c r="D115" s="24"/>
      <c r="E115" s="54"/>
      <c r="F115" s="49"/>
      <c r="G115" s="59"/>
      <c r="H115" s="27"/>
      <c r="I115" s="53"/>
      <c r="J115" s="27"/>
      <c r="K115" s="53"/>
      <c r="L115" s="27"/>
      <c r="M115" s="53"/>
      <c r="N115" s="27"/>
      <c r="O115" s="53"/>
      <c r="P115" s="27"/>
      <c r="Q115" s="53"/>
      <c r="R115" s="27"/>
      <c r="S115" s="53"/>
      <c r="T115" s="27"/>
      <c r="U115" s="53"/>
    </row>
    <row r="116" spans="3:21" ht="12.75">
      <c r="C116" s="24"/>
      <c r="D116" s="24"/>
      <c r="E116" s="54"/>
      <c r="F116" s="49"/>
      <c r="G116" s="59"/>
      <c r="H116" s="27"/>
      <c r="I116" s="53"/>
      <c r="J116" s="27"/>
      <c r="K116" s="53"/>
      <c r="L116" s="27"/>
      <c r="M116" s="53"/>
      <c r="N116" s="27"/>
      <c r="O116" s="53"/>
      <c r="P116" s="27"/>
      <c r="Q116" s="53"/>
      <c r="R116" s="27"/>
      <c r="S116" s="53"/>
      <c r="T116" s="27"/>
      <c r="U116" s="53"/>
    </row>
    <row r="117" spans="3:21" ht="12.75">
      <c r="C117" s="24"/>
      <c r="D117" s="24"/>
      <c r="E117" s="54"/>
      <c r="F117" s="49"/>
      <c r="G117" s="59"/>
      <c r="H117" s="27"/>
      <c r="I117" s="53"/>
      <c r="J117" s="27"/>
      <c r="K117" s="53"/>
      <c r="L117" s="27"/>
      <c r="M117" s="53"/>
      <c r="N117" s="27"/>
      <c r="O117" s="53"/>
      <c r="P117" s="27"/>
      <c r="Q117" s="53"/>
      <c r="R117" s="27"/>
      <c r="S117" s="53"/>
      <c r="T117" s="27"/>
      <c r="U117" s="53"/>
    </row>
    <row r="118" spans="3:21" ht="12.75">
      <c r="C118" s="24"/>
      <c r="D118" s="24"/>
      <c r="E118" s="54"/>
      <c r="F118" s="49"/>
      <c r="G118" s="59"/>
      <c r="H118" s="27"/>
      <c r="I118" s="53"/>
      <c r="J118" s="27"/>
      <c r="K118" s="53"/>
      <c r="L118" s="27"/>
      <c r="M118" s="53"/>
      <c r="N118" s="27"/>
      <c r="O118" s="53"/>
      <c r="P118" s="27"/>
      <c r="Q118" s="53"/>
      <c r="R118" s="27"/>
      <c r="S118" s="53"/>
      <c r="T118" s="27"/>
      <c r="U118" s="53"/>
    </row>
    <row r="119" spans="3:21" ht="12.75">
      <c r="C119" s="24"/>
      <c r="D119" s="24"/>
      <c r="E119" s="54"/>
      <c r="F119" s="49"/>
      <c r="G119" s="59"/>
      <c r="H119" s="27"/>
      <c r="I119" s="53"/>
      <c r="J119" s="27"/>
      <c r="K119" s="53"/>
      <c r="L119" s="27"/>
      <c r="M119" s="53"/>
      <c r="N119" s="27"/>
      <c r="O119" s="53"/>
      <c r="P119" s="27"/>
      <c r="Q119" s="53"/>
      <c r="R119" s="27"/>
      <c r="S119" s="53"/>
      <c r="T119" s="27"/>
      <c r="U119" s="53"/>
    </row>
    <row r="120" spans="3:21" ht="12.75">
      <c r="C120" s="24"/>
      <c r="D120" s="24"/>
      <c r="E120" s="54"/>
      <c r="F120" s="49"/>
      <c r="G120" s="59"/>
      <c r="H120" s="27"/>
      <c r="I120" s="53"/>
      <c r="J120" s="27"/>
      <c r="K120" s="53"/>
      <c r="L120" s="27"/>
      <c r="M120" s="53"/>
      <c r="N120" s="27"/>
      <c r="O120" s="53"/>
      <c r="P120" s="27"/>
      <c r="Q120" s="53"/>
      <c r="R120" s="27"/>
      <c r="S120" s="53"/>
      <c r="T120" s="27"/>
      <c r="U120" s="53"/>
    </row>
    <row r="121" spans="3:21" ht="12.75">
      <c r="C121" s="24"/>
      <c r="D121" s="24"/>
      <c r="E121" s="54"/>
      <c r="F121" s="49"/>
      <c r="G121" s="59"/>
      <c r="H121" s="27"/>
      <c r="I121" s="53"/>
      <c r="J121" s="27"/>
      <c r="K121" s="53"/>
      <c r="L121" s="27"/>
      <c r="M121" s="53"/>
      <c r="N121" s="27"/>
      <c r="O121" s="53"/>
      <c r="P121" s="27"/>
      <c r="Q121" s="53"/>
      <c r="R121" s="27"/>
      <c r="S121" s="53"/>
      <c r="T121" s="27"/>
      <c r="U121" s="53"/>
    </row>
    <row r="122" spans="3:21" ht="12.75">
      <c r="C122" s="24"/>
      <c r="D122" s="24"/>
      <c r="E122" s="54"/>
      <c r="F122" s="49"/>
      <c r="G122" s="59"/>
      <c r="H122" s="27"/>
      <c r="I122" s="53"/>
      <c r="J122" s="27"/>
      <c r="K122" s="53"/>
      <c r="L122" s="27"/>
      <c r="M122" s="53"/>
      <c r="N122" s="27"/>
      <c r="O122" s="53"/>
      <c r="P122" s="27"/>
      <c r="Q122" s="53"/>
      <c r="R122" s="27"/>
      <c r="S122" s="53"/>
      <c r="T122" s="27"/>
      <c r="U122" s="53"/>
    </row>
    <row r="123" spans="3:21" ht="12.75">
      <c r="C123" s="24"/>
      <c r="D123" s="24"/>
      <c r="E123" s="54"/>
      <c r="F123" s="49"/>
      <c r="G123" s="59"/>
      <c r="H123" s="27"/>
      <c r="I123" s="53"/>
      <c r="J123" s="27"/>
      <c r="K123" s="53"/>
      <c r="L123" s="27"/>
      <c r="M123" s="53"/>
      <c r="N123" s="27"/>
      <c r="O123" s="53"/>
      <c r="P123" s="27"/>
      <c r="Q123" s="53"/>
      <c r="R123" s="27"/>
      <c r="S123" s="53"/>
      <c r="T123" s="27"/>
      <c r="U123" s="53"/>
    </row>
    <row r="124" spans="3:21" ht="12.75">
      <c r="C124" s="24"/>
      <c r="D124" s="24"/>
      <c r="E124" s="54"/>
      <c r="F124" s="49"/>
      <c r="G124" s="59"/>
      <c r="H124" s="27"/>
      <c r="I124" s="53"/>
      <c r="J124" s="27"/>
      <c r="K124" s="53"/>
      <c r="L124" s="27"/>
      <c r="M124" s="53"/>
      <c r="N124" s="27"/>
      <c r="O124" s="53"/>
      <c r="P124" s="27"/>
      <c r="Q124" s="53"/>
      <c r="R124" s="27"/>
      <c r="S124" s="53"/>
      <c r="T124" s="27"/>
      <c r="U124" s="53"/>
    </row>
    <row r="125" spans="3:21" ht="12.75">
      <c r="C125" s="24"/>
      <c r="D125" s="24"/>
      <c r="E125" s="54"/>
      <c r="F125" s="49"/>
      <c r="G125" s="59"/>
      <c r="H125" s="27"/>
      <c r="I125" s="53"/>
      <c r="J125" s="27"/>
      <c r="K125" s="53"/>
      <c r="L125" s="27"/>
      <c r="M125" s="53"/>
      <c r="N125" s="27"/>
      <c r="O125" s="53"/>
      <c r="P125" s="27"/>
      <c r="Q125" s="53"/>
      <c r="R125" s="27"/>
      <c r="S125" s="53"/>
      <c r="T125" s="27"/>
      <c r="U125" s="53"/>
    </row>
    <row r="126" spans="3:21" ht="12.75">
      <c r="C126" s="24"/>
      <c r="D126" s="24"/>
      <c r="E126" s="54"/>
      <c r="F126" s="49"/>
      <c r="G126" s="59"/>
      <c r="H126" s="27"/>
      <c r="I126" s="53"/>
      <c r="J126" s="27"/>
      <c r="K126" s="53"/>
      <c r="L126" s="27"/>
      <c r="M126" s="53"/>
      <c r="N126" s="27"/>
      <c r="O126" s="53"/>
      <c r="P126" s="27"/>
      <c r="Q126" s="53"/>
      <c r="R126" s="27"/>
      <c r="S126" s="53"/>
      <c r="T126" s="27"/>
      <c r="U126" s="53"/>
    </row>
    <row r="127" spans="3:21" ht="12.75">
      <c r="C127" s="24"/>
      <c r="D127" s="24"/>
      <c r="E127" s="54"/>
      <c r="F127" s="49"/>
      <c r="G127" s="59"/>
      <c r="H127" s="27"/>
      <c r="I127" s="53"/>
      <c r="J127" s="27"/>
      <c r="K127" s="53"/>
      <c r="L127" s="27"/>
      <c r="M127" s="53"/>
      <c r="N127" s="27"/>
      <c r="O127" s="53"/>
      <c r="P127" s="27"/>
      <c r="Q127" s="53"/>
      <c r="R127" s="27"/>
      <c r="S127" s="53"/>
      <c r="T127" s="27"/>
      <c r="U127" s="53"/>
    </row>
    <row r="128" spans="3:21" ht="12.75">
      <c r="C128" s="24"/>
      <c r="D128" s="24"/>
      <c r="E128" s="54"/>
      <c r="F128" s="49"/>
      <c r="G128" s="59"/>
      <c r="H128" s="27"/>
      <c r="I128" s="53"/>
      <c r="J128" s="27"/>
      <c r="K128" s="53"/>
      <c r="L128" s="27"/>
      <c r="M128" s="53"/>
      <c r="N128" s="27"/>
      <c r="O128" s="53"/>
      <c r="P128" s="27"/>
      <c r="Q128" s="53"/>
      <c r="R128" s="27"/>
      <c r="S128" s="53"/>
      <c r="T128" s="27"/>
      <c r="U128" s="53"/>
    </row>
    <row r="129" spans="3:21" ht="12.75">
      <c r="C129" s="24"/>
      <c r="D129" s="24"/>
      <c r="E129" s="54"/>
      <c r="F129" s="49"/>
      <c r="G129" s="59"/>
      <c r="H129" s="27"/>
      <c r="I129" s="53"/>
      <c r="J129" s="27"/>
      <c r="K129" s="53"/>
      <c r="L129" s="27"/>
      <c r="M129" s="53"/>
      <c r="N129" s="27"/>
      <c r="O129" s="53"/>
      <c r="P129" s="27"/>
      <c r="Q129" s="53"/>
      <c r="R129" s="27"/>
      <c r="S129" s="53"/>
      <c r="T129" s="27"/>
      <c r="U129" s="53"/>
    </row>
    <row r="130" spans="3:21" ht="12.75">
      <c r="C130" s="24"/>
      <c r="D130" s="24"/>
      <c r="E130" s="54"/>
      <c r="F130" s="49"/>
      <c r="G130" s="59"/>
      <c r="H130" s="27"/>
      <c r="I130" s="53"/>
      <c r="J130" s="27"/>
      <c r="K130" s="53"/>
      <c r="L130" s="27"/>
      <c r="M130" s="53"/>
      <c r="N130" s="27"/>
      <c r="O130" s="53"/>
      <c r="P130" s="27"/>
      <c r="Q130" s="53"/>
      <c r="R130" s="27"/>
      <c r="S130" s="53"/>
      <c r="T130" s="27"/>
      <c r="U130" s="53"/>
    </row>
    <row r="131" spans="3:21" ht="12.75">
      <c r="C131" s="24"/>
      <c r="D131" s="24"/>
      <c r="E131" s="54"/>
      <c r="F131" s="49"/>
      <c r="G131" s="59"/>
      <c r="H131" s="27"/>
      <c r="I131" s="53"/>
      <c r="J131" s="27"/>
      <c r="K131" s="53"/>
      <c r="L131" s="27"/>
      <c r="M131" s="53"/>
      <c r="N131" s="27"/>
      <c r="O131" s="53"/>
      <c r="P131" s="27"/>
      <c r="Q131" s="53"/>
      <c r="R131" s="27"/>
      <c r="S131" s="53"/>
      <c r="T131" s="27"/>
      <c r="U131" s="53"/>
    </row>
    <row r="132" spans="3:21" ht="12.75">
      <c r="C132" s="24"/>
      <c r="D132" s="24"/>
      <c r="E132" s="54"/>
      <c r="F132" s="49"/>
      <c r="G132" s="59"/>
      <c r="H132" s="27"/>
      <c r="I132" s="53"/>
      <c r="J132" s="27"/>
      <c r="K132" s="53"/>
      <c r="L132" s="27"/>
      <c r="M132" s="53"/>
      <c r="N132" s="27"/>
      <c r="O132" s="53"/>
      <c r="P132" s="27"/>
      <c r="Q132" s="53"/>
      <c r="R132" s="27"/>
      <c r="S132" s="53"/>
      <c r="T132" s="27"/>
      <c r="U132" s="53"/>
    </row>
    <row r="133" spans="3:21" ht="12.75">
      <c r="C133" s="24"/>
      <c r="D133" s="24"/>
      <c r="E133" s="54"/>
      <c r="F133" s="49"/>
      <c r="G133" s="59"/>
      <c r="H133" s="27"/>
      <c r="I133" s="53"/>
      <c r="J133" s="27"/>
      <c r="K133" s="53"/>
      <c r="L133" s="27"/>
      <c r="M133" s="53"/>
      <c r="N133" s="27"/>
      <c r="O133" s="53"/>
      <c r="P133" s="27"/>
      <c r="Q133" s="53"/>
      <c r="R133" s="27"/>
      <c r="S133" s="53"/>
      <c r="T133" s="27"/>
      <c r="U133" s="53"/>
    </row>
    <row r="134" spans="3:21" ht="12.75">
      <c r="C134" s="24"/>
      <c r="D134" s="24"/>
      <c r="E134" s="54"/>
      <c r="F134" s="49"/>
      <c r="G134" s="59"/>
      <c r="H134" s="27"/>
      <c r="I134" s="53"/>
      <c r="J134" s="27"/>
      <c r="K134" s="53"/>
      <c r="L134" s="27"/>
      <c r="M134" s="53"/>
      <c r="N134" s="27"/>
      <c r="O134" s="53"/>
      <c r="P134" s="27"/>
      <c r="Q134" s="53"/>
      <c r="R134" s="27"/>
      <c r="S134" s="53"/>
      <c r="T134" s="27"/>
      <c r="U134" s="53"/>
    </row>
    <row r="135" spans="3:21" ht="12.75">
      <c r="C135" s="24"/>
      <c r="D135" s="24"/>
      <c r="E135" s="54"/>
      <c r="F135" s="49"/>
      <c r="G135" s="59"/>
      <c r="H135" s="27"/>
      <c r="I135" s="53"/>
      <c r="J135" s="27"/>
      <c r="K135" s="53"/>
      <c r="L135" s="27"/>
      <c r="M135" s="53"/>
      <c r="N135" s="27"/>
      <c r="O135" s="53"/>
      <c r="P135" s="27"/>
      <c r="Q135" s="53"/>
      <c r="R135" s="27"/>
      <c r="S135" s="53"/>
      <c r="T135" s="27"/>
      <c r="U135" s="53"/>
    </row>
    <row r="136" spans="3:21" ht="12.75">
      <c r="C136" s="24"/>
      <c r="D136" s="24"/>
      <c r="E136" s="54"/>
      <c r="F136" s="49"/>
      <c r="G136" s="59"/>
      <c r="H136" s="27"/>
      <c r="I136" s="53"/>
      <c r="J136" s="27"/>
      <c r="K136" s="53"/>
      <c r="L136" s="27"/>
      <c r="M136" s="53"/>
      <c r="N136" s="27"/>
      <c r="O136" s="53"/>
      <c r="P136" s="27"/>
      <c r="Q136" s="53"/>
      <c r="R136" s="27"/>
      <c r="S136" s="53"/>
      <c r="T136" s="27"/>
      <c r="U136" s="53"/>
    </row>
    <row r="137" spans="3:21" ht="12.75">
      <c r="C137" s="24"/>
      <c r="D137" s="24"/>
      <c r="E137" s="54"/>
      <c r="F137" s="49"/>
      <c r="G137" s="59"/>
      <c r="H137" s="27"/>
      <c r="I137" s="53"/>
      <c r="J137" s="27"/>
      <c r="K137" s="53"/>
      <c r="L137" s="27"/>
      <c r="M137" s="53"/>
      <c r="N137" s="27"/>
      <c r="O137" s="53"/>
      <c r="P137" s="27"/>
      <c r="Q137" s="53"/>
      <c r="R137" s="27"/>
      <c r="S137" s="53"/>
      <c r="T137" s="27"/>
      <c r="U137" s="53"/>
    </row>
    <row r="138" spans="3:21" ht="12.75">
      <c r="C138" s="24"/>
      <c r="D138" s="24"/>
      <c r="E138" s="54"/>
      <c r="F138" s="49"/>
      <c r="G138" s="59"/>
      <c r="H138" s="27"/>
      <c r="I138" s="53"/>
      <c r="J138" s="27"/>
      <c r="K138" s="53"/>
      <c r="L138" s="27"/>
      <c r="M138" s="53"/>
      <c r="N138" s="27"/>
      <c r="O138" s="53"/>
      <c r="P138" s="27"/>
      <c r="Q138" s="53"/>
      <c r="R138" s="27"/>
      <c r="S138" s="53"/>
      <c r="T138" s="27"/>
      <c r="U138" s="53"/>
    </row>
    <row r="139" spans="3:21" ht="12.75">
      <c r="C139" s="24"/>
      <c r="D139" s="24"/>
      <c r="E139" s="54"/>
      <c r="F139" s="49"/>
      <c r="G139" s="59"/>
      <c r="H139" s="27"/>
      <c r="I139" s="53"/>
      <c r="J139" s="27"/>
      <c r="K139" s="53"/>
      <c r="L139" s="27"/>
      <c r="M139" s="53"/>
      <c r="N139" s="27"/>
      <c r="O139" s="53"/>
      <c r="P139" s="27"/>
      <c r="Q139" s="53"/>
      <c r="R139" s="27"/>
      <c r="S139" s="53"/>
      <c r="T139" s="27"/>
      <c r="U139" s="53"/>
    </row>
    <row r="140" spans="3:21" ht="12.75">
      <c r="C140" s="24"/>
      <c r="D140" s="24"/>
      <c r="E140" s="54"/>
      <c r="F140" s="49"/>
      <c r="G140" s="59"/>
      <c r="H140" s="27"/>
      <c r="I140" s="53"/>
      <c r="J140" s="27"/>
      <c r="K140" s="53"/>
      <c r="L140" s="27"/>
      <c r="M140" s="53"/>
      <c r="N140" s="27"/>
      <c r="O140" s="53"/>
      <c r="P140" s="27"/>
      <c r="Q140" s="53"/>
      <c r="R140" s="27"/>
      <c r="S140" s="53"/>
      <c r="T140" s="27"/>
      <c r="U140" s="53"/>
    </row>
    <row r="141" spans="3:21" ht="12.75">
      <c r="C141" s="24"/>
      <c r="D141" s="24"/>
      <c r="E141" s="54"/>
      <c r="F141" s="49"/>
      <c r="G141" s="59"/>
      <c r="H141" s="27"/>
      <c r="I141" s="53"/>
      <c r="J141" s="27"/>
      <c r="K141" s="53"/>
      <c r="L141" s="27"/>
      <c r="M141" s="53"/>
      <c r="N141" s="27"/>
      <c r="O141" s="53"/>
      <c r="P141" s="27"/>
      <c r="Q141" s="53"/>
      <c r="R141" s="27"/>
      <c r="S141" s="53"/>
      <c r="T141" s="27"/>
      <c r="U141" s="53"/>
    </row>
    <row r="142" spans="3:21" ht="12.75">
      <c r="C142" s="24"/>
      <c r="D142" s="24"/>
      <c r="E142" s="54"/>
      <c r="F142" s="49"/>
      <c r="G142" s="59"/>
      <c r="H142" s="27"/>
      <c r="I142" s="53"/>
      <c r="J142" s="27"/>
      <c r="K142" s="53"/>
      <c r="L142" s="27"/>
      <c r="M142" s="53"/>
      <c r="N142" s="27"/>
      <c r="O142" s="53"/>
      <c r="P142" s="27"/>
      <c r="Q142" s="53"/>
      <c r="R142" s="27"/>
      <c r="S142" s="53"/>
      <c r="T142" s="27"/>
      <c r="U142" s="53"/>
    </row>
    <row r="143" spans="6:21" ht="12.75">
      <c r="F143" s="49"/>
      <c r="H143" s="27"/>
      <c r="I143" s="53"/>
      <c r="J143" s="27"/>
      <c r="K143" s="53"/>
      <c r="L143" s="27"/>
      <c r="M143" s="53"/>
      <c r="N143" s="27"/>
      <c r="O143" s="53"/>
      <c r="P143" s="27"/>
      <c r="Q143" s="53"/>
      <c r="R143" s="27"/>
      <c r="S143" s="53"/>
      <c r="T143" s="27"/>
      <c r="U143" s="53"/>
    </row>
    <row r="144" spans="6:21" ht="12.75">
      <c r="F144" s="49"/>
      <c r="H144" s="27"/>
      <c r="I144" s="53"/>
      <c r="J144" s="27"/>
      <c r="K144" s="53"/>
      <c r="L144" s="27"/>
      <c r="M144" s="53"/>
      <c r="N144" s="27"/>
      <c r="O144" s="53"/>
      <c r="P144" s="27"/>
      <c r="Q144" s="53"/>
      <c r="R144" s="27"/>
      <c r="S144" s="53"/>
      <c r="T144" s="27"/>
      <c r="U144" s="53"/>
    </row>
    <row r="145" spans="6:21" ht="12.75">
      <c r="F145" s="49"/>
      <c r="H145" s="27"/>
      <c r="I145" s="53"/>
      <c r="J145" s="27"/>
      <c r="K145" s="53"/>
      <c r="L145" s="27"/>
      <c r="M145" s="53"/>
      <c r="N145" s="27"/>
      <c r="O145" s="53"/>
      <c r="P145" s="27"/>
      <c r="Q145" s="53"/>
      <c r="R145" s="27"/>
      <c r="S145" s="53"/>
      <c r="T145" s="27"/>
      <c r="U145" s="53"/>
    </row>
    <row r="146" spans="6:21" ht="12.75">
      <c r="F146" s="49"/>
      <c r="H146" s="27"/>
      <c r="I146" s="53"/>
      <c r="J146" s="27"/>
      <c r="K146" s="53"/>
      <c r="L146" s="27"/>
      <c r="M146" s="53"/>
      <c r="N146" s="27"/>
      <c r="O146" s="53"/>
      <c r="P146" s="27"/>
      <c r="Q146" s="53"/>
      <c r="R146" s="27"/>
      <c r="S146" s="53"/>
      <c r="T146" s="27"/>
      <c r="U146" s="53"/>
    </row>
    <row r="147" spans="6:21" ht="12.75">
      <c r="F147" s="49"/>
      <c r="H147" s="27"/>
      <c r="I147" s="53"/>
      <c r="J147" s="27"/>
      <c r="K147" s="53"/>
      <c r="L147" s="27"/>
      <c r="M147" s="53"/>
      <c r="N147" s="27"/>
      <c r="O147" s="53"/>
      <c r="P147" s="27"/>
      <c r="Q147" s="53"/>
      <c r="R147" s="27"/>
      <c r="S147" s="53"/>
      <c r="T147" s="27"/>
      <c r="U147" s="53"/>
    </row>
    <row r="148" spans="6:21" ht="12.75">
      <c r="F148" s="49"/>
      <c r="H148" s="27"/>
      <c r="I148" s="53"/>
      <c r="J148" s="27"/>
      <c r="K148" s="53"/>
      <c r="L148" s="27"/>
      <c r="M148" s="53"/>
      <c r="N148" s="27"/>
      <c r="O148" s="53"/>
      <c r="P148" s="27"/>
      <c r="Q148" s="53"/>
      <c r="R148" s="27"/>
      <c r="S148" s="53"/>
      <c r="T148" s="27"/>
      <c r="U148" s="53"/>
    </row>
    <row r="149" spans="6:21" ht="12.75">
      <c r="F149" s="49"/>
      <c r="H149" s="27"/>
      <c r="I149" s="53"/>
      <c r="J149" s="27"/>
      <c r="K149" s="53"/>
      <c r="L149" s="27"/>
      <c r="M149" s="53"/>
      <c r="N149" s="27"/>
      <c r="O149" s="53"/>
      <c r="P149" s="27"/>
      <c r="Q149" s="53"/>
      <c r="R149" s="27"/>
      <c r="S149" s="53"/>
      <c r="T149" s="27"/>
      <c r="U149" s="53"/>
    </row>
    <row r="150" spans="6:21" ht="12.75">
      <c r="F150" s="49"/>
      <c r="H150" s="27"/>
      <c r="I150" s="53"/>
      <c r="J150" s="27"/>
      <c r="K150" s="53"/>
      <c r="L150" s="27"/>
      <c r="M150" s="53"/>
      <c r="N150" s="27"/>
      <c r="O150" s="53"/>
      <c r="P150" s="27"/>
      <c r="Q150" s="53"/>
      <c r="R150" s="27"/>
      <c r="S150" s="53"/>
      <c r="T150" s="27"/>
      <c r="U150" s="53"/>
    </row>
    <row r="151" spans="6:21" ht="12.75">
      <c r="F151" s="49"/>
      <c r="H151" s="27"/>
      <c r="I151" s="53"/>
      <c r="J151" s="27"/>
      <c r="K151" s="53"/>
      <c r="L151" s="27"/>
      <c r="M151" s="53"/>
      <c r="N151" s="27"/>
      <c r="O151" s="53"/>
      <c r="P151" s="27"/>
      <c r="Q151" s="53"/>
      <c r="R151" s="27"/>
      <c r="S151" s="53"/>
      <c r="T151" s="27"/>
      <c r="U151" s="53"/>
    </row>
    <row r="152" spans="6:21" ht="12.75">
      <c r="F152" s="49"/>
      <c r="H152" s="27"/>
      <c r="I152" s="53"/>
      <c r="J152" s="27"/>
      <c r="K152" s="53"/>
      <c r="L152" s="27"/>
      <c r="M152" s="53"/>
      <c r="N152" s="27"/>
      <c r="O152" s="53"/>
      <c r="P152" s="27"/>
      <c r="Q152" s="53"/>
      <c r="R152" s="27"/>
      <c r="S152" s="53"/>
      <c r="T152" s="27"/>
      <c r="U152" s="53"/>
    </row>
    <row r="153" spans="6:21" ht="12.75">
      <c r="F153" s="49"/>
      <c r="H153" s="27"/>
      <c r="I153" s="53"/>
      <c r="J153" s="27"/>
      <c r="K153" s="53"/>
      <c r="L153" s="27"/>
      <c r="M153" s="53"/>
      <c r="N153" s="27"/>
      <c r="O153" s="53"/>
      <c r="P153" s="27"/>
      <c r="Q153" s="53"/>
      <c r="R153" s="27"/>
      <c r="S153" s="53"/>
      <c r="T153" s="27"/>
      <c r="U153" s="53"/>
    </row>
    <row r="154" spans="6:21" ht="12.75">
      <c r="F154" s="49"/>
      <c r="H154" s="27"/>
      <c r="I154" s="53"/>
      <c r="J154" s="27"/>
      <c r="K154" s="53"/>
      <c r="L154" s="27"/>
      <c r="M154" s="53"/>
      <c r="N154" s="27"/>
      <c r="O154" s="53"/>
      <c r="P154" s="27"/>
      <c r="Q154" s="53"/>
      <c r="R154" s="27"/>
      <c r="S154" s="53"/>
      <c r="T154" s="27"/>
      <c r="U154" s="53"/>
    </row>
    <row r="155" spans="6:21" ht="12.75">
      <c r="F155" s="49"/>
      <c r="H155" s="27"/>
      <c r="I155" s="53"/>
      <c r="J155" s="27"/>
      <c r="K155" s="53"/>
      <c r="L155" s="27"/>
      <c r="M155" s="53"/>
      <c r="N155" s="27"/>
      <c r="O155" s="53"/>
      <c r="P155" s="27"/>
      <c r="Q155" s="53"/>
      <c r="R155" s="27"/>
      <c r="S155" s="53"/>
      <c r="T155" s="27"/>
      <c r="U155" s="53"/>
    </row>
    <row r="156" spans="6:21" ht="12.75">
      <c r="F156" s="49"/>
      <c r="H156" s="27"/>
      <c r="I156" s="53"/>
      <c r="J156" s="27"/>
      <c r="K156" s="53"/>
      <c r="L156" s="27"/>
      <c r="M156" s="53"/>
      <c r="N156" s="27"/>
      <c r="O156" s="53"/>
      <c r="P156" s="27"/>
      <c r="Q156" s="53"/>
      <c r="R156" s="27"/>
      <c r="S156" s="53"/>
      <c r="T156" s="27"/>
      <c r="U156" s="53"/>
    </row>
    <row r="157" spans="6:21" ht="12.75">
      <c r="F157" s="49"/>
      <c r="H157" s="27"/>
      <c r="I157" s="53"/>
      <c r="J157" s="27"/>
      <c r="K157" s="53"/>
      <c r="L157" s="27"/>
      <c r="M157" s="53"/>
      <c r="N157" s="27"/>
      <c r="O157" s="53"/>
      <c r="P157" s="27"/>
      <c r="Q157" s="53"/>
      <c r="R157" s="27"/>
      <c r="S157" s="53"/>
      <c r="T157" s="27"/>
      <c r="U157" s="53"/>
    </row>
    <row r="158" spans="6:21" ht="12.75">
      <c r="F158" s="49"/>
      <c r="H158" s="27"/>
      <c r="I158" s="53"/>
      <c r="J158" s="27"/>
      <c r="K158" s="53"/>
      <c r="L158" s="27"/>
      <c r="M158" s="53"/>
      <c r="N158" s="27"/>
      <c r="O158" s="53"/>
      <c r="P158" s="27"/>
      <c r="Q158" s="53"/>
      <c r="R158" s="27"/>
      <c r="S158" s="53"/>
      <c r="T158" s="27"/>
      <c r="U158" s="53"/>
    </row>
    <row r="159" spans="6:21" ht="12.75">
      <c r="F159" s="49"/>
      <c r="H159" s="27"/>
      <c r="I159" s="53"/>
      <c r="J159" s="27"/>
      <c r="K159" s="53"/>
      <c r="L159" s="27"/>
      <c r="M159" s="53"/>
      <c r="N159" s="27"/>
      <c r="O159" s="53"/>
      <c r="P159" s="27"/>
      <c r="Q159" s="53"/>
      <c r="R159" s="27"/>
      <c r="S159" s="53"/>
      <c r="T159" s="27"/>
      <c r="U159" s="53"/>
    </row>
    <row r="160" spans="6:21" ht="12.75">
      <c r="F160" s="49"/>
      <c r="H160" s="27"/>
      <c r="I160" s="53"/>
      <c r="J160" s="27"/>
      <c r="K160" s="53"/>
      <c r="L160" s="27"/>
      <c r="M160" s="53"/>
      <c r="N160" s="27"/>
      <c r="O160" s="53"/>
      <c r="P160" s="27"/>
      <c r="Q160" s="53"/>
      <c r="R160" s="27"/>
      <c r="S160" s="53"/>
      <c r="T160" s="27"/>
      <c r="U160" s="53"/>
    </row>
    <row r="161" spans="6:21" ht="12.75">
      <c r="F161" s="49"/>
      <c r="H161" s="27"/>
      <c r="I161" s="53"/>
      <c r="J161" s="27"/>
      <c r="K161" s="53"/>
      <c r="L161" s="27"/>
      <c r="M161" s="53"/>
      <c r="N161" s="27"/>
      <c r="O161" s="53"/>
      <c r="P161" s="27"/>
      <c r="Q161" s="53"/>
      <c r="R161" s="27"/>
      <c r="S161" s="53"/>
      <c r="T161" s="27"/>
      <c r="U161" s="53"/>
    </row>
    <row r="162" spans="6:21" ht="12.75">
      <c r="F162" s="49"/>
      <c r="H162" s="27"/>
      <c r="I162" s="53"/>
      <c r="J162" s="27"/>
      <c r="K162" s="53"/>
      <c r="L162" s="27"/>
      <c r="M162" s="53"/>
      <c r="N162" s="27"/>
      <c r="O162" s="53"/>
      <c r="P162" s="27"/>
      <c r="Q162" s="53"/>
      <c r="R162" s="27"/>
      <c r="S162" s="53"/>
      <c r="T162" s="27"/>
      <c r="U162" s="53"/>
    </row>
    <row r="163" spans="6:21" ht="12.75">
      <c r="F163" s="49"/>
      <c r="H163" s="27"/>
      <c r="I163" s="53"/>
      <c r="J163" s="27"/>
      <c r="K163" s="53"/>
      <c r="L163" s="27"/>
      <c r="M163" s="53"/>
      <c r="N163" s="27"/>
      <c r="O163" s="53"/>
      <c r="P163" s="27"/>
      <c r="Q163" s="53"/>
      <c r="R163" s="27"/>
      <c r="S163" s="53"/>
      <c r="T163" s="27"/>
      <c r="U163" s="53"/>
    </row>
    <row r="164" spans="6:21" ht="12.75">
      <c r="F164" s="49"/>
      <c r="H164" s="27"/>
      <c r="I164" s="53"/>
      <c r="J164" s="27"/>
      <c r="K164" s="53"/>
      <c r="L164" s="27"/>
      <c r="M164" s="53"/>
      <c r="N164" s="27"/>
      <c r="O164" s="53"/>
      <c r="P164" s="27"/>
      <c r="Q164" s="53"/>
      <c r="R164" s="27"/>
      <c r="S164" s="53"/>
      <c r="T164" s="27"/>
      <c r="U164" s="53"/>
    </row>
    <row r="165" spans="6:21" ht="12.75">
      <c r="F165" s="49"/>
      <c r="H165" s="27"/>
      <c r="I165" s="53"/>
      <c r="J165" s="27"/>
      <c r="K165" s="53"/>
      <c r="L165" s="27"/>
      <c r="M165" s="53"/>
      <c r="N165" s="27"/>
      <c r="O165" s="53"/>
      <c r="P165" s="27"/>
      <c r="Q165" s="53"/>
      <c r="R165" s="27"/>
      <c r="S165" s="53"/>
      <c r="T165" s="27"/>
      <c r="U165" s="53"/>
    </row>
    <row r="166" spans="6:21" ht="12.75">
      <c r="F166" s="49"/>
      <c r="H166" s="27"/>
      <c r="I166" s="53"/>
      <c r="J166" s="27"/>
      <c r="K166" s="53"/>
      <c r="L166" s="27"/>
      <c r="M166" s="53"/>
      <c r="N166" s="27"/>
      <c r="O166" s="53"/>
      <c r="P166" s="27"/>
      <c r="Q166" s="53"/>
      <c r="R166" s="27"/>
      <c r="S166" s="53"/>
      <c r="T166" s="27"/>
      <c r="U166" s="53"/>
    </row>
    <row r="167" spans="6:21" ht="12.75">
      <c r="F167" s="49"/>
      <c r="H167" s="27"/>
      <c r="I167" s="53"/>
      <c r="J167" s="27"/>
      <c r="K167" s="53"/>
      <c r="L167" s="27"/>
      <c r="M167" s="53"/>
      <c r="N167" s="27"/>
      <c r="O167" s="53"/>
      <c r="P167" s="27"/>
      <c r="Q167" s="53"/>
      <c r="R167" s="27"/>
      <c r="S167" s="53"/>
      <c r="T167" s="27"/>
      <c r="U167" s="53"/>
    </row>
    <row r="168" spans="6:21" ht="12.75">
      <c r="F168" s="49"/>
      <c r="H168" s="27"/>
      <c r="I168" s="53"/>
      <c r="J168" s="27"/>
      <c r="K168" s="53"/>
      <c r="L168" s="27"/>
      <c r="M168" s="53"/>
      <c r="N168" s="27"/>
      <c r="O168" s="53"/>
      <c r="P168" s="27"/>
      <c r="Q168" s="53"/>
      <c r="R168" s="27"/>
      <c r="S168" s="53"/>
      <c r="T168" s="27"/>
      <c r="U168" s="53"/>
    </row>
    <row r="169" spans="6:21" ht="12.75">
      <c r="F169" s="49"/>
      <c r="H169" s="27"/>
      <c r="I169" s="53"/>
      <c r="J169" s="27"/>
      <c r="K169" s="53"/>
      <c r="L169" s="27"/>
      <c r="M169" s="53"/>
      <c r="N169" s="27"/>
      <c r="O169" s="53"/>
      <c r="P169" s="27"/>
      <c r="Q169" s="53"/>
      <c r="R169" s="27"/>
      <c r="S169" s="53"/>
      <c r="T169" s="27"/>
      <c r="U169" s="53"/>
    </row>
    <row r="170" spans="6:21" ht="12.75">
      <c r="F170" s="49"/>
      <c r="H170" s="27"/>
      <c r="I170" s="53"/>
      <c r="J170" s="27"/>
      <c r="K170" s="53"/>
      <c r="L170" s="27"/>
      <c r="M170" s="53"/>
      <c r="N170" s="27"/>
      <c r="O170" s="53"/>
      <c r="P170" s="27"/>
      <c r="Q170" s="53"/>
      <c r="R170" s="27"/>
      <c r="S170" s="53"/>
      <c r="T170" s="27"/>
      <c r="U170" s="53"/>
    </row>
    <row r="171" spans="6:21" ht="12.75">
      <c r="F171" s="49"/>
      <c r="H171" s="27"/>
      <c r="I171" s="53"/>
      <c r="J171" s="27"/>
      <c r="K171" s="53"/>
      <c r="L171" s="27"/>
      <c r="M171" s="53"/>
      <c r="N171" s="27"/>
      <c r="O171" s="53"/>
      <c r="P171" s="27"/>
      <c r="Q171" s="53"/>
      <c r="R171" s="27"/>
      <c r="S171" s="53"/>
      <c r="T171" s="27"/>
      <c r="U171" s="53"/>
    </row>
    <row r="172" spans="6:21" ht="12.75">
      <c r="F172" s="49"/>
      <c r="H172" s="27"/>
      <c r="I172" s="53"/>
      <c r="J172" s="27"/>
      <c r="K172" s="53"/>
      <c r="L172" s="27"/>
      <c r="M172" s="53"/>
      <c r="N172" s="27"/>
      <c r="O172" s="53"/>
      <c r="P172" s="27"/>
      <c r="Q172" s="53"/>
      <c r="R172" s="27"/>
      <c r="S172" s="53"/>
      <c r="T172" s="27"/>
      <c r="U172" s="53"/>
    </row>
    <row r="173" spans="6:21" ht="12.75">
      <c r="F173" s="49"/>
      <c r="H173" s="27"/>
      <c r="I173" s="53"/>
      <c r="J173" s="27"/>
      <c r="K173" s="53"/>
      <c r="L173" s="27"/>
      <c r="M173" s="53"/>
      <c r="N173" s="27"/>
      <c r="O173" s="53"/>
      <c r="P173" s="27"/>
      <c r="Q173" s="53"/>
      <c r="R173" s="27"/>
      <c r="S173" s="53"/>
      <c r="T173" s="27"/>
      <c r="U173" s="53"/>
    </row>
    <row r="174" spans="6:21" ht="12.75">
      <c r="F174" s="49"/>
      <c r="H174" s="27"/>
      <c r="I174" s="53"/>
      <c r="J174" s="27"/>
      <c r="K174" s="53"/>
      <c r="L174" s="27"/>
      <c r="M174" s="53"/>
      <c r="N174" s="27"/>
      <c r="O174" s="53"/>
      <c r="P174" s="27"/>
      <c r="Q174" s="53"/>
      <c r="R174" s="27"/>
      <c r="S174" s="53"/>
      <c r="T174" s="27"/>
      <c r="U174" s="53"/>
    </row>
    <row r="175" spans="6:21" ht="12.75">
      <c r="F175" s="49"/>
      <c r="H175" s="27"/>
      <c r="I175" s="53"/>
      <c r="J175" s="27"/>
      <c r="K175" s="53"/>
      <c r="L175" s="27"/>
      <c r="M175" s="53"/>
      <c r="N175" s="27"/>
      <c r="O175" s="53"/>
      <c r="P175" s="27"/>
      <c r="Q175" s="53"/>
      <c r="R175" s="27"/>
      <c r="S175" s="53"/>
      <c r="T175" s="27"/>
      <c r="U175" s="53"/>
    </row>
    <row r="176" spans="6:21" ht="12.75">
      <c r="F176" s="49"/>
      <c r="H176" s="27"/>
      <c r="I176" s="53"/>
      <c r="J176" s="27"/>
      <c r="K176" s="53"/>
      <c r="L176" s="27"/>
      <c r="M176" s="53"/>
      <c r="N176" s="27"/>
      <c r="O176" s="53"/>
      <c r="P176" s="27"/>
      <c r="Q176" s="53"/>
      <c r="R176" s="27"/>
      <c r="S176" s="53"/>
      <c r="T176" s="27"/>
      <c r="U176" s="53"/>
    </row>
    <row r="177" spans="6:21" ht="12.75">
      <c r="F177" s="49"/>
      <c r="H177" s="27"/>
      <c r="I177" s="53"/>
      <c r="J177" s="27"/>
      <c r="K177" s="53"/>
      <c r="L177" s="27"/>
      <c r="M177" s="53"/>
      <c r="N177" s="27"/>
      <c r="O177" s="53"/>
      <c r="P177" s="27"/>
      <c r="Q177" s="53"/>
      <c r="R177" s="27"/>
      <c r="S177" s="53"/>
      <c r="T177" s="27"/>
      <c r="U177" s="53"/>
    </row>
    <row r="178" spans="6:21" ht="12.75">
      <c r="F178" s="49"/>
      <c r="H178" s="27"/>
      <c r="I178" s="53"/>
      <c r="J178" s="27"/>
      <c r="K178" s="53"/>
      <c r="L178" s="27"/>
      <c r="M178" s="53"/>
      <c r="N178" s="27"/>
      <c r="O178" s="53"/>
      <c r="P178" s="27"/>
      <c r="Q178" s="53"/>
      <c r="R178" s="27"/>
      <c r="S178" s="53"/>
      <c r="T178" s="27"/>
      <c r="U178" s="53"/>
    </row>
    <row r="179" spans="6:21" ht="12.75">
      <c r="F179" s="49"/>
      <c r="H179" s="27"/>
      <c r="I179" s="53"/>
      <c r="J179" s="27"/>
      <c r="K179" s="53"/>
      <c r="L179" s="27"/>
      <c r="M179" s="53"/>
      <c r="N179" s="27"/>
      <c r="O179" s="53"/>
      <c r="P179" s="27"/>
      <c r="Q179" s="53"/>
      <c r="R179" s="27"/>
      <c r="S179" s="53"/>
      <c r="T179" s="27"/>
      <c r="U179" s="53"/>
    </row>
    <row r="180" spans="6:21" ht="12.75">
      <c r="F180" s="49"/>
      <c r="H180" s="27"/>
      <c r="I180" s="53"/>
      <c r="J180" s="27"/>
      <c r="K180" s="53"/>
      <c r="L180" s="27"/>
      <c r="M180" s="53"/>
      <c r="N180" s="27"/>
      <c r="O180" s="53"/>
      <c r="P180" s="27"/>
      <c r="Q180" s="53"/>
      <c r="R180" s="27"/>
      <c r="S180" s="53"/>
      <c r="T180" s="27"/>
      <c r="U180" s="53"/>
    </row>
    <row r="181" spans="6:21" ht="12.75">
      <c r="F181" s="49"/>
      <c r="H181" s="27"/>
      <c r="I181" s="53"/>
      <c r="J181" s="27"/>
      <c r="K181" s="53"/>
      <c r="L181" s="27"/>
      <c r="M181" s="53"/>
      <c r="N181" s="27"/>
      <c r="O181" s="53"/>
      <c r="P181" s="27"/>
      <c r="Q181" s="53"/>
      <c r="R181" s="27"/>
      <c r="S181" s="53"/>
      <c r="T181" s="27"/>
      <c r="U181" s="53"/>
    </row>
    <row r="182" spans="6:21" ht="12.75">
      <c r="F182" s="49"/>
      <c r="H182" s="27"/>
      <c r="I182" s="53"/>
      <c r="J182" s="27"/>
      <c r="K182" s="53"/>
      <c r="L182" s="27"/>
      <c r="M182" s="53"/>
      <c r="N182" s="27"/>
      <c r="O182" s="53"/>
      <c r="P182" s="27"/>
      <c r="Q182" s="53"/>
      <c r="R182" s="27"/>
      <c r="S182" s="53"/>
      <c r="T182" s="27"/>
      <c r="U182" s="53"/>
    </row>
    <row r="183" spans="6:21" ht="12.75">
      <c r="F183" s="49"/>
      <c r="H183" s="27"/>
      <c r="I183" s="53"/>
      <c r="J183" s="27"/>
      <c r="K183" s="53"/>
      <c r="L183" s="27"/>
      <c r="M183" s="53"/>
      <c r="N183" s="27"/>
      <c r="O183" s="53"/>
      <c r="P183" s="27"/>
      <c r="Q183" s="53"/>
      <c r="R183" s="27"/>
      <c r="S183" s="53"/>
      <c r="T183" s="27"/>
      <c r="U183" s="53"/>
    </row>
    <row r="184" spans="6:21" ht="12.75">
      <c r="F184" s="49"/>
      <c r="H184" s="27"/>
      <c r="I184" s="53"/>
      <c r="J184" s="27"/>
      <c r="K184" s="53"/>
      <c r="L184" s="27"/>
      <c r="M184" s="53"/>
      <c r="N184" s="27"/>
      <c r="O184" s="53"/>
      <c r="P184" s="27"/>
      <c r="Q184" s="53"/>
      <c r="R184" s="27"/>
      <c r="S184" s="53"/>
      <c r="T184" s="27"/>
      <c r="U184" s="53"/>
    </row>
    <row r="185" spans="6:21" ht="12.75">
      <c r="F185" s="49"/>
      <c r="H185" s="27"/>
      <c r="I185" s="53"/>
      <c r="J185" s="27"/>
      <c r="K185" s="53"/>
      <c r="L185" s="27"/>
      <c r="M185" s="53"/>
      <c r="N185" s="27"/>
      <c r="O185" s="53"/>
      <c r="P185" s="27"/>
      <c r="Q185" s="53"/>
      <c r="R185" s="27"/>
      <c r="S185" s="53"/>
      <c r="T185" s="27"/>
      <c r="U185" s="53"/>
    </row>
    <row r="186" spans="6:21" ht="12.75">
      <c r="F186" s="49"/>
      <c r="H186" s="27"/>
      <c r="I186" s="53"/>
      <c r="J186" s="27"/>
      <c r="K186" s="53"/>
      <c r="L186" s="27"/>
      <c r="M186" s="53"/>
      <c r="N186" s="27"/>
      <c r="O186" s="53"/>
      <c r="P186" s="27"/>
      <c r="Q186" s="53"/>
      <c r="R186" s="27"/>
      <c r="S186" s="53"/>
      <c r="T186" s="27"/>
      <c r="U186" s="53"/>
    </row>
    <row r="187" spans="6:21" ht="12.75">
      <c r="F187" s="49"/>
      <c r="H187" s="27"/>
      <c r="I187" s="53"/>
      <c r="J187" s="27"/>
      <c r="K187" s="53"/>
      <c r="L187" s="27"/>
      <c r="M187" s="53"/>
      <c r="N187" s="27"/>
      <c r="O187" s="53"/>
      <c r="P187" s="27"/>
      <c r="Q187" s="53"/>
      <c r="R187" s="27"/>
      <c r="S187" s="53"/>
      <c r="T187" s="27"/>
      <c r="U187" s="53"/>
    </row>
    <row r="188" spans="6:21" ht="12.75">
      <c r="F188" s="49"/>
      <c r="H188" s="27"/>
      <c r="I188" s="53"/>
      <c r="J188" s="27"/>
      <c r="K188" s="53"/>
      <c r="L188" s="27"/>
      <c r="M188" s="53"/>
      <c r="N188" s="27"/>
      <c r="O188" s="53"/>
      <c r="P188" s="27"/>
      <c r="Q188" s="53"/>
      <c r="R188" s="27"/>
      <c r="S188" s="53"/>
      <c r="T188" s="27"/>
      <c r="U188" s="53"/>
    </row>
    <row r="189" spans="6:21" ht="12.75">
      <c r="F189" s="49"/>
      <c r="H189" s="27"/>
      <c r="I189" s="53"/>
      <c r="J189" s="27"/>
      <c r="K189" s="53"/>
      <c r="L189" s="27"/>
      <c r="M189" s="53"/>
      <c r="N189" s="27"/>
      <c r="O189" s="53"/>
      <c r="P189" s="27"/>
      <c r="Q189" s="53"/>
      <c r="R189" s="27"/>
      <c r="S189" s="53"/>
      <c r="T189" s="27"/>
      <c r="U189" s="53"/>
    </row>
    <row r="190" spans="6:21" ht="12.75">
      <c r="F190" s="49"/>
      <c r="H190" s="27"/>
      <c r="I190" s="53"/>
      <c r="J190" s="27"/>
      <c r="K190" s="53"/>
      <c r="L190" s="27"/>
      <c r="M190" s="53"/>
      <c r="N190" s="27"/>
      <c r="O190" s="53"/>
      <c r="P190" s="27"/>
      <c r="Q190" s="53"/>
      <c r="R190" s="27"/>
      <c r="S190" s="53"/>
      <c r="T190" s="27"/>
      <c r="U190" s="53"/>
    </row>
    <row r="191" spans="6:21" ht="12.75">
      <c r="F191" s="49"/>
      <c r="H191" s="27"/>
      <c r="I191" s="53"/>
      <c r="J191" s="27"/>
      <c r="K191" s="53"/>
      <c r="L191" s="27"/>
      <c r="M191" s="53"/>
      <c r="N191" s="27"/>
      <c r="O191" s="53"/>
      <c r="P191" s="27"/>
      <c r="Q191" s="53"/>
      <c r="R191" s="27"/>
      <c r="S191" s="53"/>
      <c r="T191" s="27"/>
      <c r="U191" s="53"/>
    </row>
    <row r="192" spans="6:21" ht="12.75">
      <c r="F192" s="49"/>
      <c r="H192" s="27"/>
      <c r="I192" s="53"/>
      <c r="J192" s="27"/>
      <c r="K192" s="53"/>
      <c r="L192" s="27"/>
      <c r="M192" s="53"/>
      <c r="N192" s="27"/>
      <c r="O192" s="53"/>
      <c r="P192" s="27"/>
      <c r="Q192" s="53"/>
      <c r="R192" s="27"/>
      <c r="S192" s="53"/>
      <c r="T192" s="27"/>
      <c r="U192" s="53"/>
    </row>
    <row r="193" spans="6:21" ht="12.75">
      <c r="F193" s="49"/>
      <c r="H193" s="27"/>
      <c r="I193" s="53"/>
      <c r="J193" s="27"/>
      <c r="K193" s="53"/>
      <c r="L193" s="27"/>
      <c r="M193" s="53"/>
      <c r="N193" s="27"/>
      <c r="O193" s="53"/>
      <c r="P193" s="27"/>
      <c r="Q193" s="53"/>
      <c r="R193" s="27"/>
      <c r="S193" s="53"/>
      <c r="T193" s="27"/>
      <c r="U193" s="53"/>
    </row>
    <row r="194" spans="6:21" ht="12.75">
      <c r="F194" s="49"/>
      <c r="H194" s="27"/>
      <c r="I194" s="53"/>
      <c r="J194" s="27"/>
      <c r="K194" s="53"/>
      <c r="L194" s="27"/>
      <c r="M194" s="53"/>
      <c r="N194" s="27"/>
      <c r="O194" s="53"/>
      <c r="P194" s="27"/>
      <c r="Q194" s="53"/>
      <c r="R194" s="27"/>
      <c r="S194" s="53"/>
      <c r="T194" s="27"/>
      <c r="U194" s="53"/>
    </row>
    <row r="195" spans="6:21" ht="12.75">
      <c r="F195" s="49"/>
      <c r="H195" s="27"/>
      <c r="I195" s="53"/>
      <c r="J195" s="27"/>
      <c r="K195" s="53"/>
      <c r="L195" s="27"/>
      <c r="M195" s="53"/>
      <c r="N195" s="27"/>
      <c r="O195" s="53"/>
      <c r="P195" s="27"/>
      <c r="Q195" s="53"/>
      <c r="R195" s="27"/>
      <c r="S195" s="53"/>
      <c r="T195" s="27"/>
      <c r="U195" s="53"/>
    </row>
    <row r="196" spans="6:21" ht="12.75">
      <c r="F196" s="49"/>
      <c r="H196" s="27"/>
      <c r="I196" s="53"/>
      <c r="J196" s="27"/>
      <c r="K196" s="53"/>
      <c r="L196" s="27"/>
      <c r="M196" s="53"/>
      <c r="N196" s="27"/>
      <c r="O196" s="53"/>
      <c r="P196" s="27"/>
      <c r="Q196" s="53"/>
      <c r="R196" s="27"/>
      <c r="S196" s="53"/>
      <c r="T196" s="27"/>
      <c r="U196" s="53"/>
    </row>
    <row r="197" spans="6:21" ht="12.75">
      <c r="F197" s="49"/>
      <c r="H197" s="27"/>
      <c r="I197" s="53"/>
      <c r="J197" s="27"/>
      <c r="K197" s="53"/>
      <c r="L197" s="27"/>
      <c r="M197" s="53"/>
      <c r="N197" s="27"/>
      <c r="O197" s="53"/>
      <c r="P197" s="27"/>
      <c r="Q197" s="53"/>
      <c r="R197" s="27"/>
      <c r="S197" s="53"/>
      <c r="T197" s="27"/>
      <c r="U197" s="53"/>
    </row>
    <row r="198" spans="6:21" ht="12.75">
      <c r="F198" s="49"/>
      <c r="H198" s="27"/>
      <c r="I198" s="53"/>
      <c r="J198" s="27"/>
      <c r="K198" s="53"/>
      <c r="L198" s="27"/>
      <c r="M198" s="53"/>
      <c r="N198" s="27"/>
      <c r="O198" s="53"/>
      <c r="P198" s="27"/>
      <c r="Q198" s="53"/>
      <c r="R198" s="27"/>
      <c r="S198" s="53"/>
      <c r="T198" s="27"/>
      <c r="U198" s="53"/>
    </row>
    <row r="199" spans="6:21" ht="12.75">
      <c r="F199" s="49"/>
      <c r="H199" s="27"/>
      <c r="I199" s="53"/>
      <c r="J199" s="27"/>
      <c r="K199" s="53"/>
      <c r="L199" s="27"/>
      <c r="M199" s="53"/>
      <c r="N199" s="27"/>
      <c r="O199" s="53"/>
      <c r="P199" s="27"/>
      <c r="Q199" s="53"/>
      <c r="R199" s="27"/>
      <c r="S199" s="53"/>
      <c r="T199" s="27"/>
      <c r="U199" s="53"/>
    </row>
    <row r="200" spans="6:21" ht="12.75">
      <c r="F200" s="49"/>
      <c r="H200" s="27"/>
      <c r="I200" s="53"/>
      <c r="J200" s="27"/>
      <c r="K200" s="53"/>
      <c r="L200" s="27"/>
      <c r="M200" s="53"/>
      <c r="N200" s="27"/>
      <c r="O200" s="53"/>
      <c r="P200" s="27"/>
      <c r="Q200" s="53"/>
      <c r="R200" s="27"/>
      <c r="S200" s="53"/>
      <c r="T200" s="27"/>
      <c r="U200" s="53"/>
    </row>
    <row r="201" spans="6:21" ht="12.75">
      <c r="F201" s="49"/>
      <c r="H201" s="27"/>
      <c r="I201" s="53"/>
      <c r="J201" s="27"/>
      <c r="K201" s="53"/>
      <c r="L201" s="27"/>
      <c r="M201" s="53"/>
      <c r="N201" s="27"/>
      <c r="O201" s="53"/>
      <c r="P201" s="27"/>
      <c r="Q201" s="53"/>
      <c r="R201" s="27"/>
      <c r="S201" s="53"/>
      <c r="T201" s="27"/>
      <c r="U201" s="53"/>
    </row>
    <row r="202" spans="6:21" ht="12.75">
      <c r="F202" s="49"/>
      <c r="H202" s="27"/>
      <c r="I202" s="53"/>
      <c r="J202" s="27"/>
      <c r="K202" s="53"/>
      <c r="L202" s="27"/>
      <c r="M202" s="53"/>
      <c r="N202" s="27"/>
      <c r="O202" s="53"/>
      <c r="P202" s="27"/>
      <c r="Q202" s="53"/>
      <c r="R202" s="27"/>
      <c r="S202" s="53"/>
      <c r="T202" s="27"/>
      <c r="U202" s="53"/>
    </row>
    <row r="203" spans="6:21" ht="12.75">
      <c r="F203" s="49"/>
      <c r="H203" s="27"/>
      <c r="I203" s="53"/>
      <c r="J203" s="27"/>
      <c r="K203" s="53"/>
      <c r="L203" s="27"/>
      <c r="M203" s="53"/>
      <c r="N203" s="27"/>
      <c r="O203" s="53"/>
      <c r="P203" s="27"/>
      <c r="Q203" s="53"/>
      <c r="R203" s="27"/>
      <c r="S203" s="53"/>
      <c r="T203" s="27"/>
      <c r="U203" s="53"/>
    </row>
    <row r="204" spans="6:21" ht="12.75">
      <c r="F204" s="49"/>
      <c r="H204" s="27"/>
      <c r="I204" s="53"/>
      <c r="J204" s="27"/>
      <c r="K204" s="53"/>
      <c r="L204" s="27"/>
      <c r="M204" s="53"/>
      <c r="N204" s="27"/>
      <c r="O204" s="53"/>
      <c r="P204" s="27"/>
      <c r="Q204" s="53"/>
      <c r="R204" s="27"/>
      <c r="S204" s="53"/>
      <c r="T204" s="27"/>
      <c r="U204" s="53"/>
    </row>
    <row r="205" spans="6:21" ht="12.75">
      <c r="F205" s="49"/>
      <c r="H205" s="27"/>
      <c r="I205" s="53"/>
      <c r="J205" s="27"/>
      <c r="K205" s="53"/>
      <c r="L205" s="27"/>
      <c r="M205" s="53"/>
      <c r="N205" s="27"/>
      <c r="O205" s="53"/>
      <c r="P205" s="27"/>
      <c r="Q205" s="53"/>
      <c r="R205" s="27"/>
      <c r="S205" s="53"/>
      <c r="T205" s="27"/>
      <c r="U205" s="53"/>
    </row>
    <row r="206" spans="6:21" ht="12.75">
      <c r="F206" s="49"/>
      <c r="H206" s="27"/>
      <c r="I206" s="53"/>
      <c r="J206" s="27"/>
      <c r="K206" s="53"/>
      <c r="L206" s="27"/>
      <c r="M206" s="53"/>
      <c r="N206" s="27"/>
      <c r="O206" s="53"/>
      <c r="P206" s="27"/>
      <c r="Q206" s="53"/>
      <c r="R206" s="27"/>
      <c r="S206" s="53"/>
      <c r="T206" s="27"/>
      <c r="U206" s="53"/>
    </row>
    <row r="207" spans="6:21" ht="12.75">
      <c r="F207" s="49"/>
      <c r="H207" s="27"/>
      <c r="I207" s="53"/>
      <c r="J207" s="27"/>
      <c r="K207" s="53"/>
      <c r="L207" s="27"/>
      <c r="M207" s="53"/>
      <c r="N207" s="27"/>
      <c r="O207" s="53"/>
      <c r="P207" s="27"/>
      <c r="Q207" s="53"/>
      <c r="R207" s="27"/>
      <c r="S207" s="53"/>
      <c r="T207" s="27"/>
      <c r="U207" s="53"/>
    </row>
    <row r="208" spans="6:21" ht="12.75">
      <c r="F208" s="49"/>
      <c r="H208" s="27"/>
      <c r="I208" s="53"/>
      <c r="J208" s="27"/>
      <c r="K208" s="53"/>
      <c r="L208" s="27"/>
      <c r="M208" s="53"/>
      <c r="N208" s="27"/>
      <c r="O208" s="53"/>
      <c r="P208" s="27"/>
      <c r="Q208" s="53"/>
      <c r="R208" s="27"/>
      <c r="S208" s="53"/>
      <c r="T208" s="27"/>
      <c r="U208" s="53"/>
    </row>
    <row r="209" spans="6:21" ht="12.75">
      <c r="F209" s="49"/>
      <c r="H209" s="27"/>
      <c r="I209" s="53"/>
      <c r="J209" s="27"/>
      <c r="K209" s="53"/>
      <c r="L209" s="27"/>
      <c r="M209" s="53"/>
      <c r="N209" s="27"/>
      <c r="O209" s="53"/>
      <c r="P209" s="27"/>
      <c r="Q209" s="53"/>
      <c r="R209" s="27"/>
      <c r="S209" s="53"/>
      <c r="T209" s="27"/>
      <c r="U209" s="53"/>
    </row>
    <row r="210" spans="6:21" ht="12.75">
      <c r="F210" s="49"/>
      <c r="H210" s="27"/>
      <c r="I210" s="53"/>
      <c r="J210" s="27"/>
      <c r="K210" s="53"/>
      <c r="L210" s="27"/>
      <c r="M210" s="53"/>
      <c r="N210" s="27"/>
      <c r="O210" s="53"/>
      <c r="P210" s="27"/>
      <c r="Q210" s="53"/>
      <c r="R210" s="27"/>
      <c r="S210" s="53"/>
      <c r="T210" s="27"/>
      <c r="U210" s="53"/>
    </row>
    <row r="211" spans="6:21" ht="12.75">
      <c r="F211" s="49"/>
      <c r="H211" s="27"/>
      <c r="I211" s="53"/>
      <c r="J211" s="27"/>
      <c r="K211" s="53"/>
      <c r="L211" s="27"/>
      <c r="M211" s="53"/>
      <c r="N211" s="27"/>
      <c r="O211" s="53"/>
      <c r="P211" s="27"/>
      <c r="Q211" s="53"/>
      <c r="R211" s="27"/>
      <c r="S211" s="53"/>
      <c r="T211" s="27"/>
      <c r="U211" s="53"/>
    </row>
    <row r="212" spans="6:21" ht="12.75">
      <c r="F212" s="49"/>
      <c r="H212" s="27"/>
      <c r="I212" s="53"/>
      <c r="J212" s="27"/>
      <c r="K212" s="53"/>
      <c r="L212" s="27"/>
      <c r="M212" s="53"/>
      <c r="N212" s="27"/>
      <c r="O212" s="53"/>
      <c r="P212" s="27"/>
      <c r="Q212" s="53"/>
      <c r="R212" s="27"/>
      <c r="S212" s="53"/>
      <c r="T212" s="27"/>
      <c r="U212" s="53"/>
    </row>
    <row r="213" spans="6:21" ht="12.75">
      <c r="F213" s="49"/>
      <c r="H213" s="27"/>
      <c r="I213" s="53"/>
      <c r="J213" s="27"/>
      <c r="K213" s="53"/>
      <c r="L213" s="27"/>
      <c r="M213" s="53"/>
      <c r="N213" s="27"/>
      <c r="O213" s="53"/>
      <c r="P213" s="27"/>
      <c r="Q213" s="53"/>
      <c r="R213" s="27"/>
      <c r="S213" s="53"/>
      <c r="T213" s="27"/>
      <c r="U213" s="53"/>
    </row>
    <row r="214" spans="6:21" ht="12.75">
      <c r="F214" s="49"/>
      <c r="H214" s="27"/>
      <c r="I214" s="53"/>
      <c r="J214" s="27"/>
      <c r="K214" s="53"/>
      <c r="L214" s="27"/>
      <c r="M214" s="53"/>
      <c r="N214" s="27"/>
      <c r="O214" s="53"/>
      <c r="P214" s="27"/>
      <c r="Q214" s="53"/>
      <c r="R214" s="27"/>
      <c r="S214" s="53"/>
      <c r="T214" s="27"/>
      <c r="U214" s="53"/>
    </row>
    <row r="215" spans="6:21" ht="12.75">
      <c r="F215" s="49"/>
      <c r="H215" s="27"/>
      <c r="I215" s="53"/>
      <c r="J215" s="27"/>
      <c r="K215" s="53"/>
      <c r="L215" s="27"/>
      <c r="M215" s="53"/>
      <c r="N215" s="27"/>
      <c r="O215" s="53"/>
      <c r="P215" s="27"/>
      <c r="Q215" s="53"/>
      <c r="R215" s="27"/>
      <c r="S215" s="53"/>
      <c r="T215" s="27"/>
      <c r="U215" s="53"/>
    </row>
    <row r="216" spans="6:21" ht="12.75">
      <c r="F216" s="49"/>
      <c r="H216" s="27"/>
      <c r="I216" s="53"/>
      <c r="J216" s="27"/>
      <c r="K216" s="53"/>
      <c r="L216" s="27"/>
      <c r="M216" s="53"/>
      <c r="N216" s="27"/>
      <c r="O216" s="53"/>
      <c r="P216" s="27"/>
      <c r="Q216" s="53"/>
      <c r="R216" s="27"/>
      <c r="S216" s="53"/>
      <c r="T216" s="27"/>
      <c r="U216" s="53"/>
    </row>
    <row r="217" spans="6:21" ht="12.75">
      <c r="F217" s="49"/>
      <c r="H217" s="27"/>
      <c r="I217" s="53"/>
      <c r="J217" s="27"/>
      <c r="K217" s="53"/>
      <c r="L217" s="27"/>
      <c r="M217" s="53"/>
      <c r="N217" s="27"/>
      <c r="O217" s="53"/>
      <c r="P217" s="27"/>
      <c r="Q217" s="53"/>
      <c r="R217" s="27"/>
      <c r="S217" s="53"/>
      <c r="T217" s="27"/>
      <c r="U217" s="53"/>
    </row>
    <row r="218" spans="6:21" ht="12.75">
      <c r="F218" s="49"/>
      <c r="H218" s="27"/>
      <c r="I218" s="53"/>
      <c r="J218" s="27"/>
      <c r="K218" s="53"/>
      <c r="L218" s="27"/>
      <c r="M218" s="53"/>
      <c r="N218" s="27"/>
      <c r="O218" s="53"/>
      <c r="P218" s="27"/>
      <c r="Q218" s="53"/>
      <c r="R218" s="27"/>
      <c r="S218" s="53"/>
      <c r="T218" s="27"/>
      <c r="U218" s="53"/>
    </row>
    <row r="219" spans="6:21" ht="12.75">
      <c r="F219" s="49"/>
      <c r="H219" s="27"/>
      <c r="I219" s="53"/>
      <c r="J219" s="27"/>
      <c r="K219" s="53"/>
      <c r="L219" s="27"/>
      <c r="M219" s="53"/>
      <c r="N219" s="27"/>
      <c r="O219" s="53"/>
      <c r="P219" s="27"/>
      <c r="Q219" s="53"/>
      <c r="R219" s="27"/>
      <c r="S219" s="53"/>
      <c r="T219" s="27"/>
      <c r="U219" s="53"/>
    </row>
    <row r="220" spans="6:21" ht="12.75">
      <c r="F220" s="49"/>
      <c r="H220" s="27"/>
      <c r="I220" s="53"/>
      <c r="J220" s="27"/>
      <c r="K220" s="53"/>
      <c r="L220" s="27"/>
      <c r="M220" s="53"/>
      <c r="N220" s="27"/>
      <c r="O220" s="53"/>
      <c r="P220" s="27"/>
      <c r="Q220" s="53"/>
      <c r="R220" s="27"/>
      <c r="S220" s="53"/>
      <c r="T220" s="27"/>
      <c r="U220" s="53"/>
    </row>
    <row r="221" spans="6:21" ht="12.75">
      <c r="F221" s="49"/>
      <c r="H221" s="27"/>
      <c r="I221" s="53"/>
      <c r="J221" s="27"/>
      <c r="K221" s="53"/>
      <c r="L221" s="27"/>
      <c r="M221" s="53"/>
      <c r="N221" s="27"/>
      <c r="O221" s="53"/>
      <c r="P221" s="27"/>
      <c r="Q221" s="53"/>
      <c r="R221" s="27"/>
      <c r="S221" s="53"/>
      <c r="T221" s="27"/>
      <c r="U221" s="53"/>
    </row>
    <row r="222" spans="6:21" ht="12.75">
      <c r="F222" s="49"/>
      <c r="H222" s="27"/>
      <c r="I222" s="53"/>
      <c r="J222" s="27"/>
      <c r="K222" s="53"/>
      <c r="L222" s="27"/>
      <c r="M222" s="53"/>
      <c r="N222" s="27"/>
      <c r="O222" s="53"/>
      <c r="P222" s="27"/>
      <c r="Q222" s="53"/>
      <c r="R222" s="27"/>
      <c r="S222" s="53"/>
      <c r="T222" s="27"/>
      <c r="U222" s="53"/>
    </row>
    <row r="223" spans="6:21" ht="12.75">
      <c r="F223" s="49"/>
      <c r="H223" s="27"/>
      <c r="I223" s="53"/>
      <c r="J223" s="27"/>
      <c r="K223" s="53"/>
      <c r="L223" s="27"/>
      <c r="M223" s="53"/>
      <c r="N223" s="27"/>
      <c r="O223" s="53"/>
      <c r="P223" s="27"/>
      <c r="Q223" s="53"/>
      <c r="R223" s="27"/>
      <c r="S223" s="53"/>
      <c r="T223" s="27"/>
      <c r="U223" s="53"/>
    </row>
    <row r="224" spans="6:21" ht="12.75">
      <c r="F224" s="49"/>
      <c r="H224" s="27"/>
      <c r="I224" s="53"/>
      <c r="J224" s="27"/>
      <c r="K224" s="53"/>
      <c r="L224" s="27"/>
      <c r="M224" s="53"/>
      <c r="N224" s="27"/>
      <c r="O224" s="53"/>
      <c r="P224" s="27"/>
      <c r="Q224" s="53"/>
      <c r="R224" s="27"/>
      <c r="S224" s="53"/>
      <c r="T224" s="27"/>
      <c r="U224" s="53"/>
    </row>
    <row r="225" spans="6:21" ht="12.75">
      <c r="F225" s="49"/>
      <c r="H225" s="27"/>
      <c r="I225" s="53"/>
      <c r="J225" s="27"/>
      <c r="K225" s="53"/>
      <c r="L225" s="27"/>
      <c r="M225" s="53"/>
      <c r="N225" s="27"/>
      <c r="O225" s="53"/>
      <c r="P225" s="27"/>
      <c r="Q225" s="53"/>
      <c r="R225" s="27"/>
      <c r="S225" s="53"/>
      <c r="T225" s="27"/>
      <c r="U225" s="53"/>
    </row>
    <row r="226" spans="6:21" ht="12.75">
      <c r="F226" s="49"/>
      <c r="H226" s="27"/>
      <c r="I226" s="53"/>
      <c r="J226" s="27"/>
      <c r="K226" s="53"/>
      <c r="L226" s="27"/>
      <c r="M226" s="53"/>
      <c r="N226" s="27"/>
      <c r="O226" s="53"/>
      <c r="P226" s="27"/>
      <c r="Q226" s="53"/>
      <c r="R226" s="27"/>
      <c r="S226" s="53"/>
      <c r="T226" s="27"/>
      <c r="U226" s="53"/>
    </row>
    <row r="227" spans="6:21" ht="12.75">
      <c r="F227" s="49"/>
      <c r="H227" s="27"/>
      <c r="I227" s="53"/>
      <c r="J227" s="27"/>
      <c r="K227" s="53"/>
      <c r="L227" s="27"/>
      <c r="M227" s="53"/>
      <c r="N227" s="27"/>
      <c r="O227" s="53"/>
      <c r="P227" s="27"/>
      <c r="Q227" s="53"/>
      <c r="R227" s="27"/>
      <c r="S227" s="53"/>
      <c r="T227" s="27"/>
      <c r="U227" s="53"/>
    </row>
    <row r="228" spans="6:21" ht="12.75">
      <c r="F228" s="49"/>
      <c r="H228" s="27"/>
      <c r="I228" s="53"/>
      <c r="J228" s="27"/>
      <c r="K228" s="53"/>
      <c r="L228" s="27"/>
      <c r="M228" s="53"/>
      <c r="N228" s="27"/>
      <c r="O228" s="53"/>
      <c r="P228" s="27"/>
      <c r="Q228" s="53"/>
      <c r="R228" s="27"/>
      <c r="S228" s="53"/>
      <c r="T228" s="27"/>
      <c r="U228" s="53"/>
    </row>
    <row r="229" spans="6:21" ht="12.75">
      <c r="F229" s="49"/>
      <c r="H229" s="27"/>
      <c r="I229" s="53"/>
      <c r="J229" s="27"/>
      <c r="K229" s="53"/>
      <c r="L229" s="27"/>
      <c r="M229" s="53"/>
      <c r="N229" s="27"/>
      <c r="O229" s="53"/>
      <c r="P229" s="27"/>
      <c r="Q229" s="53"/>
      <c r="R229" s="27"/>
      <c r="S229" s="53"/>
      <c r="T229" s="27"/>
      <c r="U229" s="53"/>
    </row>
    <row r="230" spans="6:21" ht="12.75">
      <c r="F230" s="49"/>
      <c r="H230" s="27"/>
      <c r="I230" s="53"/>
      <c r="J230" s="27"/>
      <c r="K230" s="53"/>
      <c r="L230" s="27"/>
      <c r="M230" s="53"/>
      <c r="N230" s="27"/>
      <c r="O230" s="53"/>
      <c r="P230" s="27"/>
      <c r="Q230" s="53"/>
      <c r="R230" s="27"/>
      <c r="S230" s="53"/>
      <c r="T230" s="27"/>
      <c r="U230" s="53"/>
    </row>
    <row r="231" spans="6:21" ht="12.75">
      <c r="F231" s="49"/>
      <c r="H231" s="27"/>
      <c r="I231" s="53"/>
      <c r="J231" s="27"/>
      <c r="K231" s="53"/>
      <c r="L231" s="27"/>
      <c r="M231" s="53"/>
      <c r="N231" s="27"/>
      <c r="O231" s="53"/>
      <c r="P231" s="27"/>
      <c r="Q231" s="53"/>
      <c r="R231" s="27"/>
      <c r="S231" s="53"/>
      <c r="T231" s="27"/>
      <c r="U231" s="53"/>
    </row>
    <row r="232" spans="6:21" ht="12.75">
      <c r="F232" s="49"/>
      <c r="H232" s="27"/>
      <c r="I232" s="53"/>
      <c r="J232" s="27"/>
      <c r="K232" s="53"/>
      <c r="L232" s="27"/>
      <c r="M232" s="53"/>
      <c r="N232" s="27"/>
      <c r="O232" s="53"/>
      <c r="P232" s="27"/>
      <c r="Q232" s="53"/>
      <c r="R232" s="27"/>
      <c r="S232" s="53"/>
      <c r="T232" s="27"/>
      <c r="U232" s="53"/>
    </row>
    <row r="233" spans="6:21" ht="12.75">
      <c r="F233" s="49"/>
      <c r="H233" s="27"/>
      <c r="I233" s="53"/>
      <c r="J233" s="27"/>
      <c r="K233" s="53"/>
      <c r="L233" s="27"/>
      <c r="M233" s="53"/>
      <c r="N233" s="27"/>
      <c r="O233" s="53"/>
      <c r="P233" s="27"/>
      <c r="Q233" s="53"/>
      <c r="R233" s="27"/>
      <c r="S233" s="53"/>
      <c r="T233" s="27"/>
      <c r="U233" s="53"/>
    </row>
    <row r="234" spans="6:21" ht="12.75">
      <c r="F234" s="49"/>
      <c r="H234" s="27"/>
      <c r="I234" s="53"/>
      <c r="J234" s="27"/>
      <c r="K234" s="53"/>
      <c r="L234" s="27"/>
      <c r="M234" s="53"/>
      <c r="N234" s="27"/>
      <c r="O234" s="53"/>
      <c r="P234" s="27"/>
      <c r="Q234" s="53"/>
      <c r="R234" s="27"/>
      <c r="S234" s="53"/>
      <c r="T234" s="27"/>
      <c r="U234" s="53"/>
    </row>
    <row r="235" spans="6:21" ht="12.75">
      <c r="F235" s="49"/>
      <c r="H235" s="27"/>
      <c r="I235" s="53"/>
      <c r="J235" s="27"/>
      <c r="K235" s="53"/>
      <c r="L235" s="27"/>
      <c r="M235" s="53"/>
      <c r="N235" s="27"/>
      <c r="O235" s="53"/>
      <c r="P235" s="27"/>
      <c r="Q235" s="53"/>
      <c r="R235" s="27"/>
      <c r="S235" s="53"/>
      <c r="T235" s="27"/>
      <c r="U235" s="53"/>
    </row>
    <row r="236" spans="6:21" ht="12.75">
      <c r="F236" s="49"/>
      <c r="H236" s="27"/>
      <c r="I236" s="53"/>
      <c r="J236" s="27"/>
      <c r="K236" s="53"/>
      <c r="L236" s="27"/>
      <c r="M236" s="53"/>
      <c r="N236" s="27"/>
      <c r="O236" s="53"/>
      <c r="P236" s="27"/>
      <c r="Q236" s="53"/>
      <c r="R236" s="27"/>
      <c r="S236" s="53"/>
      <c r="T236" s="27"/>
      <c r="U236" s="53"/>
    </row>
    <row r="237" spans="6:21" ht="12.75">
      <c r="F237" s="49"/>
      <c r="H237" s="27"/>
      <c r="I237" s="53"/>
      <c r="J237" s="27"/>
      <c r="K237" s="53"/>
      <c r="L237" s="27"/>
      <c r="M237" s="53"/>
      <c r="N237" s="27"/>
      <c r="O237" s="53"/>
      <c r="P237" s="27"/>
      <c r="Q237" s="53"/>
      <c r="R237" s="27"/>
      <c r="S237" s="53"/>
      <c r="T237" s="27"/>
      <c r="U237" s="53"/>
    </row>
    <row r="238" spans="6:21" ht="12.75">
      <c r="F238" s="49"/>
      <c r="H238" s="27"/>
      <c r="I238" s="53"/>
      <c r="J238" s="27"/>
      <c r="K238" s="53"/>
      <c r="L238" s="27"/>
      <c r="M238" s="53"/>
      <c r="N238" s="27"/>
      <c r="O238" s="53"/>
      <c r="P238" s="27"/>
      <c r="Q238" s="53"/>
      <c r="R238" s="27"/>
      <c r="S238" s="53"/>
      <c r="T238" s="27"/>
      <c r="U238" s="53"/>
    </row>
    <row r="239" spans="6:21" ht="12.75">
      <c r="F239" s="49"/>
      <c r="H239" s="27"/>
      <c r="I239" s="53"/>
      <c r="J239" s="27"/>
      <c r="K239" s="53"/>
      <c r="L239" s="27"/>
      <c r="M239" s="53"/>
      <c r="N239" s="27"/>
      <c r="O239" s="53"/>
      <c r="P239" s="27"/>
      <c r="Q239" s="53"/>
      <c r="R239" s="27"/>
      <c r="S239" s="53"/>
      <c r="T239" s="27"/>
      <c r="U239" s="53"/>
    </row>
    <row r="240" spans="6:21" ht="12.75">
      <c r="F240" s="49"/>
      <c r="H240" s="27"/>
      <c r="I240" s="53"/>
      <c r="J240" s="27"/>
      <c r="K240" s="53"/>
      <c r="L240" s="27"/>
      <c r="M240" s="53"/>
      <c r="N240" s="27"/>
      <c r="O240" s="53"/>
      <c r="P240" s="27"/>
      <c r="Q240" s="53"/>
      <c r="R240" s="27"/>
      <c r="S240" s="53"/>
      <c r="T240" s="27"/>
      <c r="U240" s="53"/>
    </row>
    <row r="241" spans="6:21" ht="12.75">
      <c r="F241" s="49"/>
      <c r="H241" s="27"/>
      <c r="I241" s="53"/>
      <c r="J241" s="27"/>
      <c r="K241" s="53"/>
      <c r="L241" s="27"/>
      <c r="M241" s="53"/>
      <c r="N241" s="27"/>
      <c r="O241" s="53"/>
      <c r="P241" s="27"/>
      <c r="Q241" s="53"/>
      <c r="R241" s="27"/>
      <c r="S241" s="53"/>
      <c r="T241" s="27"/>
      <c r="U241" s="53"/>
    </row>
    <row r="242" spans="6:21" ht="12.75">
      <c r="F242" s="49"/>
      <c r="H242" s="27"/>
      <c r="I242" s="53"/>
      <c r="J242" s="27"/>
      <c r="K242" s="53"/>
      <c r="L242" s="27"/>
      <c r="M242" s="53"/>
      <c r="N242" s="27"/>
      <c r="O242" s="53"/>
      <c r="P242" s="27"/>
      <c r="Q242" s="53"/>
      <c r="R242" s="27"/>
      <c r="S242" s="53"/>
      <c r="T242" s="27"/>
      <c r="U242" s="53"/>
    </row>
    <row r="243" spans="6:21" ht="12.75">
      <c r="F243" s="49"/>
      <c r="H243" s="27"/>
      <c r="I243" s="53"/>
      <c r="J243" s="27"/>
      <c r="K243" s="53"/>
      <c r="L243" s="27"/>
      <c r="M243" s="53"/>
      <c r="N243" s="27"/>
      <c r="O243" s="53"/>
      <c r="P243" s="27"/>
      <c r="Q243" s="53"/>
      <c r="R243" s="27"/>
      <c r="S243" s="53"/>
      <c r="T243" s="27"/>
      <c r="U243" s="53"/>
    </row>
    <row r="244" spans="6:21" ht="12.75">
      <c r="F244" s="49"/>
      <c r="H244" s="27"/>
      <c r="I244" s="53"/>
      <c r="J244" s="27"/>
      <c r="K244" s="53"/>
      <c r="L244" s="27"/>
      <c r="M244" s="53"/>
      <c r="N244" s="27"/>
      <c r="O244" s="53"/>
      <c r="P244" s="27"/>
      <c r="Q244" s="53"/>
      <c r="R244" s="27"/>
      <c r="S244" s="53"/>
      <c r="T244" s="27"/>
      <c r="U244" s="53"/>
    </row>
    <row r="245" spans="6:21" ht="12.75">
      <c r="F245" s="49"/>
      <c r="H245" s="27"/>
      <c r="I245" s="53"/>
      <c r="J245" s="27"/>
      <c r="K245" s="53"/>
      <c r="L245" s="27"/>
      <c r="M245" s="53"/>
      <c r="N245" s="27"/>
      <c r="O245" s="53"/>
      <c r="P245" s="27"/>
      <c r="Q245" s="53"/>
      <c r="R245" s="27"/>
      <c r="S245" s="53"/>
      <c r="T245" s="27"/>
      <c r="U245" s="53"/>
    </row>
    <row r="246" spans="6:21" ht="12.75">
      <c r="F246" s="49"/>
      <c r="H246" s="27"/>
      <c r="I246" s="53"/>
      <c r="J246" s="27"/>
      <c r="K246" s="53"/>
      <c r="L246" s="27"/>
      <c r="M246" s="53"/>
      <c r="N246" s="27"/>
      <c r="O246" s="53"/>
      <c r="P246" s="27"/>
      <c r="Q246" s="53"/>
      <c r="R246" s="27"/>
      <c r="S246" s="53"/>
      <c r="T246" s="27"/>
      <c r="U246" s="53"/>
    </row>
    <row r="247" spans="6:21" ht="12.75">
      <c r="F247" s="49"/>
      <c r="H247" s="27"/>
      <c r="I247" s="53"/>
      <c r="J247" s="27"/>
      <c r="K247" s="53"/>
      <c r="L247" s="27"/>
      <c r="M247" s="53"/>
      <c r="N247" s="27"/>
      <c r="O247" s="53"/>
      <c r="P247" s="27"/>
      <c r="Q247" s="53"/>
      <c r="R247" s="27"/>
      <c r="S247" s="53"/>
      <c r="T247" s="27"/>
      <c r="U247" s="53"/>
    </row>
    <row r="248" spans="6:21" ht="12.75">
      <c r="F248" s="49"/>
      <c r="H248" s="27"/>
      <c r="I248" s="53"/>
      <c r="J248" s="27"/>
      <c r="K248" s="53"/>
      <c r="L248" s="27"/>
      <c r="M248" s="53"/>
      <c r="N248" s="27"/>
      <c r="O248" s="53"/>
      <c r="P248" s="27"/>
      <c r="Q248" s="53"/>
      <c r="R248" s="27"/>
      <c r="S248" s="53"/>
      <c r="T248" s="27"/>
      <c r="U248" s="53"/>
    </row>
    <row r="249" spans="6:21" ht="12.75">
      <c r="F249" s="49"/>
      <c r="H249" s="27"/>
      <c r="I249" s="53"/>
      <c r="J249" s="27"/>
      <c r="K249" s="53"/>
      <c r="L249" s="27"/>
      <c r="M249" s="53"/>
      <c r="N249" s="27"/>
      <c r="O249" s="53"/>
      <c r="P249" s="27"/>
      <c r="Q249" s="53"/>
      <c r="R249" s="27"/>
      <c r="S249" s="53"/>
      <c r="T249" s="27"/>
      <c r="U249" s="53"/>
    </row>
    <row r="250" spans="6:21" ht="12.75">
      <c r="F250" s="49"/>
      <c r="H250" s="27"/>
      <c r="I250" s="53"/>
      <c r="J250" s="27"/>
      <c r="K250" s="53"/>
      <c r="L250" s="27"/>
      <c r="M250" s="53"/>
      <c r="N250" s="27"/>
      <c r="O250" s="53"/>
      <c r="P250" s="27"/>
      <c r="Q250" s="53"/>
      <c r="R250" s="27"/>
      <c r="S250" s="53"/>
      <c r="T250" s="27"/>
      <c r="U250" s="53"/>
    </row>
    <row r="251" spans="6:21" ht="12.75">
      <c r="F251" s="49"/>
      <c r="H251" s="27"/>
      <c r="I251" s="53"/>
      <c r="J251" s="27"/>
      <c r="K251" s="53"/>
      <c r="L251" s="27"/>
      <c r="M251" s="53"/>
      <c r="N251" s="27"/>
      <c r="O251" s="53"/>
      <c r="P251" s="27"/>
      <c r="Q251" s="53"/>
      <c r="R251" s="27"/>
      <c r="S251" s="53"/>
      <c r="T251" s="27"/>
      <c r="U251" s="53"/>
    </row>
    <row r="252" spans="6:21" ht="12.75">
      <c r="F252" s="49"/>
      <c r="H252" s="27"/>
      <c r="I252" s="53"/>
      <c r="J252" s="27"/>
      <c r="K252" s="53"/>
      <c r="L252" s="27"/>
      <c r="M252" s="53"/>
      <c r="N252" s="27"/>
      <c r="O252" s="53"/>
      <c r="P252" s="27"/>
      <c r="Q252" s="53"/>
      <c r="R252" s="27"/>
      <c r="S252" s="53"/>
      <c r="T252" s="27"/>
      <c r="U252" s="53"/>
    </row>
    <row r="253" spans="6:21" ht="12.75">
      <c r="F253" s="49"/>
      <c r="H253" s="27"/>
      <c r="I253" s="53"/>
      <c r="J253" s="27"/>
      <c r="K253" s="53"/>
      <c r="L253" s="27"/>
      <c r="M253" s="53"/>
      <c r="N253" s="27"/>
      <c r="O253" s="53"/>
      <c r="P253" s="27"/>
      <c r="Q253" s="53"/>
      <c r="R253" s="27"/>
      <c r="S253" s="53"/>
      <c r="T253" s="27"/>
      <c r="U253" s="53"/>
    </row>
    <row r="254" spans="6:21" ht="12.75">
      <c r="F254" s="49"/>
      <c r="H254" s="27"/>
      <c r="I254" s="53"/>
      <c r="J254" s="27"/>
      <c r="K254" s="53"/>
      <c r="L254" s="27"/>
      <c r="M254" s="53"/>
      <c r="N254" s="27"/>
      <c r="O254" s="53"/>
      <c r="P254" s="27"/>
      <c r="Q254" s="53"/>
      <c r="R254" s="27"/>
      <c r="S254" s="53"/>
      <c r="T254" s="27"/>
      <c r="U254" s="53"/>
    </row>
    <row r="255" spans="6:21" ht="12.75">
      <c r="F255" s="49"/>
      <c r="H255" s="27"/>
      <c r="I255" s="53"/>
      <c r="J255" s="27"/>
      <c r="K255" s="53"/>
      <c r="L255" s="27"/>
      <c r="M255" s="53"/>
      <c r="N255" s="27"/>
      <c r="O255" s="53"/>
      <c r="P255" s="27"/>
      <c r="Q255" s="53"/>
      <c r="R255" s="27"/>
      <c r="S255" s="53"/>
      <c r="T255" s="27"/>
      <c r="U255" s="53"/>
    </row>
    <row r="256" spans="6:21" ht="12.75">
      <c r="F256" s="49"/>
      <c r="H256" s="27"/>
      <c r="I256" s="53"/>
      <c r="J256" s="27"/>
      <c r="K256" s="53"/>
      <c r="L256" s="27"/>
      <c r="M256" s="53"/>
      <c r="N256" s="27"/>
      <c r="O256" s="53"/>
      <c r="P256" s="27"/>
      <c r="Q256" s="53"/>
      <c r="R256" s="27"/>
      <c r="S256" s="53"/>
      <c r="T256" s="27"/>
      <c r="U256" s="53"/>
    </row>
    <row r="257" spans="6:21" ht="12.75">
      <c r="F257" s="49"/>
      <c r="H257" s="27"/>
      <c r="I257" s="53"/>
      <c r="J257" s="27"/>
      <c r="K257" s="53"/>
      <c r="L257" s="27"/>
      <c r="M257" s="53"/>
      <c r="N257" s="27"/>
      <c r="O257" s="53"/>
      <c r="P257" s="27"/>
      <c r="Q257" s="53"/>
      <c r="R257" s="27"/>
      <c r="S257" s="53"/>
      <c r="T257" s="27"/>
      <c r="U257" s="53"/>
    </row>
    <row r="258" spans="6:21" ht="12.75">
      <c r="F258" s="49"/>
      <c r="H258" s="27"/>
      <c r="I258" s="53"/>
      <c r="J258" s="27"/>
      <c r="K258" s="53"/>
      <c r="L258" s="27"/>
      <c r="M258" s="53"/>
      <c r="N258" s="27"/>
      <c r="O258" s="53"/>
      <c r="P258" s="27"/>
      <c r="Q258" s="53"/>
      <c r="R258" s="27"/>
      <c r="S258" s="53"/>
      <c r="T258" s="27"/>
      <c r="U258" s="53"/>
    </row>
    <row r="259" spans="6:21" ht="12.75">
      <c r="F259" s="49"/>
      <c r="H259" s="27"/>
      <c r="I259" s="53"/>
      <c r="J259" s="27"/>
      <c r="K259" s="53"/>
      <c r="L259" s="27"/>
      <c r="M259" s="53"/>
      <c r="N259" s="27"/>
      <c r="O259" s="53"/>
      <c r="P259" s="27"/>
      <c r="Q259" s="53"/>
      <c r="R259" s="27"/>
      <c r="S259" s="53"/>
      <c r="T259" s="27"/>
      <c r="U259" s="53"/>
    </row>
    <row r="260" spans="6:21" ht="12.75">
      <c r="F260" s="49"/>
      <c r="H260" s="27"/>
      <c r="I260" s="53"/>
      <c r="J260" s="27"/>
      <c r="K260" s="53"/>
      <c r="L260" s="27"/>
      <c r="M260" s="53"/>
      <c r="N260" s="27"/>
      <c r="O260" s="53"/>
      <c r="P260" s="27"/>
      <c r="Q260" s="53"/>
      <c r="R260" s="27"/>
      <c r="S260" s="53"/>
      <c r="T260" s="27"/>
      <c r="U260" s="53"/>
    </row>
    <row r="261" spans="6:21" ht="12.75">
      <c r="F261" s="49"/>
      <c r="H261" s="27"/>
      <c r="I261" s="53"/>
      <c r="J261" s="27"/>
      <c r="K261" s="53"/>
      <c r="L261" s="27"/>
      <c r="M261" s="53"/>
      <c r="N261" s="27"/>
      <c r="O261" s="53"/>
      <c r="P261" s="27"/>
      <c r="Q261" s="53"/>
      <c r="R261" s="27"/>
      <c r="S261" s="53"/>
      <c r="T261" s="27"/>
      <c r="U261" s="53"/>
    </row>
    <row r="262" spans="6:21" ht="12.75">
      <c r="F262" s="49"/>
      <c r="H262" s="27"/>
      <c r="I262" s="53"/>
      <c r="J262" s="27"/>
      <c r="K262" s="53"/>
      <c r="L262" s="27"/>
      <c r="M262" s="53"/>
      <c r="N262" s="27"/>
      <c r="O262" s="53"/>
      <c r="P262" s="27"/>
      <c r="Q262" s="53"/>
      <c r="R262" s="27"/>
      <c r="S262" s="53"/>
      <c r="T262" s="27"/>
      <c r="U262" s="53"/>
    </row>
    <row r="263" spans="6:21" ht="12.75">
      <c r="F263" s="49"/>
      <c r="H263" s="27"/>
      <c r="I263" s="53"/>
      <c r="J263" s="27"/>
      <c r="K263" s="53"/>
      <c r="L263" s="27"/>
      <c r="M263" s="53"/>
      <c r="N263" s="27"/>
      <c r="O263" s="53"/>
      <c r="P263" s="27"/>
      <c r="Q263" s="53"/>
      <c r="R263" s="27"/>
      <c r="S263" s="53"/>
      <c r="T263" s="27"/>
      <c r="U263" s="53"/>
    </row>
    <row r="264" spans="6:21" ht="12.75">
      <c r="F264" s="49"/>
      <c r="H264" s="27"/>
      <c r="I264" s="53"/>
      <c r="J264" s="27"/>
      <c r="K264" s="53"/>
      <c r="L264" s="27"/>
      <c r="M264" s="53"/>
      <c r="N264" s="27"/>
      <c r="O264" s="53"/>
      <c r="P264" s="27"/>
      <c r="Q264" s="53"/>
      <c r="R264" s="27"/>
      <c r="S264" s="53"/>
      <c r="T264" s="27"/>
      <c r="U264" s="53"/>
    </row>
    <row r="265" spans="6:21" ht="12.75">
      <c r="F265" s="49"/>
      <c r="H265" s="27"/>
      <c r="I265" s="53"/>
      <c r="J265" s="27"/>
      <c r="K265" s="53"/>
      <c r="L265" s="27"/>
      <c r="M265" s="53"/>
      <c r="N265" s="27"/>
      <c r="O265" s="53"/>
      <c r="P265" s="27"/>
      <c r="Q265" s="53"/>
      <c r="R265" s="27"/>
      <c r="S265" s="53"/>
      <c r="T265" s="27"/>
      <c r="U265" s="53"/>
    </row>
    <row r="266" spans="6:21" ht="12.75">
      <c r="F266" s="49"/>
      <c r="H266" s="27"/>
      <c r="I266" s="53"/>
      <c r="J266" s="27"/>
      <c r="K266" s="53"/>
      <c r="L266" s="27"/>
      <c r="M266" s="53"/>
      <c r="N266" s="27"/>
      <c r="O266" s="53"/>
      <c r="P266" s="27"/>
      <c r="Q266" s="53"/>
      <c r="R266" s="27"/>
      <c r="S266" s="53"/>
      <c r="T266" s="27"/>
      <c r="U266" s="53"/>
    </row>
    <row r="267" spans="6:21" ht="12.75">
      <c r="F267" s="49"/>
      <c r="H267" s="27"/>
      <c r="I267" s="53"/>
      <c r="J267" s="27"/>
      <c r="K267" s="53"/>
      <c r="L267" s="27"/>
      <c r="M267" s="53"/>
      <c r="N267" s="27"/>
      <c r="O267" s="53"/>
      <c r="P267" s="27"/>
      <c r="Q267" s="53"/>
      <c r="R267" s="27"/>
      <c r="S267" s="53"/>
      <c r="T267" s="27"/>
      <c r="U267" s="53"/>
    </row>
    <row r="268" spans="6:21" ht="12.75">
      <c r="F268" s="49"/>
      <c r="H268" s="27"/>
      <c r="I268" s="53"/>
      <c r="J268" s="27"/>
      <c r="K268" s="53"/>
      <c r="L268" s="27"/>
      <c r="M268" s="53"/>
      <c r="N268" s="27"/>
      <c r="O268" s="53"/>
      <c r="P268" s="27"/>
      <c r="Q268" s="53"/>
      <c r="R268" s="27"/>
      <c r="S268" s="53"/>
      <c r="T268" s="27"/>
      <c r="U268" s="53"/>
    </row>
    <row r="269" spans="6:21" ht="12.75">
      <c r="F269" s="49"/>
      <c r="H269" s="27"/>
      <c r="I269" s="53"/>
      <c r="J269" s="27"/>
      <c r="K269" s="53"/>
      <c r="L269" s="27"/>
      <c r="M269" s="53"/>
      <c r="N269" s="27"/>
      <c r="O269" s="53"/>
      <c r="P269" s="27"/>
      <c r="Q269" s="53"/>
      <c r="R269" s="27"/>
      <c r="S269" s="53"/>
      <c r="T269" s="27"/>
      <c r="U269" s="53"/>
    </row>
    <row r="270" spans="6:21" ht="12.75">
      <c r="F270" s="49"/>
      <c r="H270" s="27"/>
      <c r="I270" s="53"/>
      <c r="J270" s="27"/>
      <c r="K270" s="53"/>
      <c r="L270" s="27"/>
      <c r="M270" s="53"/>
      <c r="N270" s="27"/>
      <c r="O270" s="53"/>
      <c r="P270" s="27"/>
      <c r="Q270" s="53"/>
      <c r="R270" s="27"/>
      <c r="S270" s="53"/>
      <c r="T270" s="27"/>
      <c r="U270" s="53"/>
    </row>
    <row r="271" spans="6:21" ht="12.75">
      <c r="F271" s="49"/>
      <c r="H271" s="27"/>
      <c r="I271" s="53"/>
      <c r="J271" s="27"/>
      <c r="K271" s="53"/>
      <c r="L271" s="27"/>
      <c r="M271" s="53"/>
      <c r="N271" s="27"/>
      <c r="O271" s="53"/>
      <c r="P271" s="27"/>
      <c r="Q271" s="53"/>
      <c r="R271" s="27"/>
      <c r="S271" s="53"/>
      <c r="T271" s="27"/>
      <c r="U271" s="53"/>
    </row>
    <row r="272" spans="6:21" ht="12.75">
      <c r="F272" s="49"/>
      <c r="H272" s="27"/>
      <c r="I272" s="53"/>
      <c r="J272" s="27"/>
      <c r="K272" s="53"/>
      <c r="L272" s="27"/>
      <c r="M272" s="53"/>
      <c r="N272" s="27"/>
      <c r="O272" s="53"/>
      <c r="P272" s="27"/>
      <c r="Q272" s="53"/>
      <c r="R272" s="27"/>
      <c r="S272" s="53"/>
      <c r="T272" s="27"/>
      <c r="U272" s="53"/>
    </row>
    <row r="273" spans="6:21" ht="12.75">
      <c r="F273" s="49"/>
      <c r="H273" s="27"/>
      <c r="I273" s="53"/>
      <c r="J273" s="27"/>
      <c r="K273" s="53"/>
      <c r="L273" s="27"/>
      <c r="M273" s="53"/>
      <c r="N273" s="27"/>
      <c r="O273" s="53"/>
      <c r="P273" s="27"/>
      <c r="Q273" s="53"/>
      <c r="R273" s="27"/>
      <c r="S273" s="53"/>
      <c r="T273" s="27"/>
      <c r="U273" s="53"/>
    </row>
    <row r="274" spans="6:21" ht="12.75">
      <c r="F274" s="49"/>
      <c r="H274" s="27"/>
      <c r="I274" s="53"/>
      <c r="J274" s="27"/>
      <c r="K274" s="53"/>
      <c r="L274" s="27"/>
      <c r="M274" s="53"/>
      <c r="N274" s="27"/>
      <c r="O274" s="53"/>
      <c r="P274" s="27"/>
      <c r="Q274" s="53"/>
      <c r="R274" s="27"/>
      <c r="S274" s="53"/>
      <c r="T274" s="27"/>
      <c r="U274" s="53"/>
    </row>
    <row r="275" spans="6:21" ht="12.75">
      <c r="F275" s="49"/>
      <c r="H275" s="27"/>
      <c r="I275" s="53"/>
      <c r="J275" s="27"/>
      <c r="K275" s="53"/>
      <c r="L275" s="27"/>
      <c r="M275" s="53"/>
      <c r="N275" s="27"/>
      <c r="O275" s="53"/>
      <c r="P275" s="27"/>
      <c r="Q275" s="53"/>
      <c r="R275" s="27"/>
      <c r="S275" s="53"/>
      <c r="T275" s="27"/>
      <c r="U275" s="53"/>
    </row>
    <row r="276" spans="6:21" ht="12.75">
      <c r="F276" s="49"/>
      <c r="H276" s="27"/>
      <c r="I276" s="53"/>
      <c r="J276" s="27"/>
      <c r="K276" s="53"/>
      <c r="L276" s="27"/>
      <c r="M276" s="53"/>
      <c r="N276" s="27"/>
      <c r="O276" s="53"/>
      <c r="P276" s="27"/>
      <c r="Q276" s="53"/>
      <c r="R276" s="27"/>
      <c r="S276" s="53"/>
      <c r="T276" s="27"/>
      <c r="U276" s="53"/>
    </row>
    <row r="277" spans="6:21" ht="12.75">
      <c r="F277" s="49"/>
      <c r="H277" s="27"/>
      <c r="I277" s="53"/>
      <c r="J277" s="27"/>
      <c r="K277" s="53"/>
      <c r="L277" s="27"/>
      <c r="M277" s="53"/>
      <c r="N277" s="27"/>
      <c r="O277" s="53"/>
      <c r="P277" s="27"/>
      <c r="Q277" s="53"/>
      <c r="R277" s="27"/>
      <c r="S277" s="53"/>
      <c r="T277" s="27"/>
      <c r="U277" s="53"/>
    </row>
    <row r="278" spans="6:21" ht="12.75">
      <c r="F278" s="49"/>
      <c r="H278" s="27"/>
      <c r="I278" s="53"/>
      <c r="J278" s="27"/>
      <c r="K278" s="53"/>
      <c r="L278" s="27"/>
      <c r="M278" s="53"/>
      <c r="N278" s="27"/>
      <c r="O278" s="53"/>
      <c r="P278" s="27"/>
      <c r="Q278" s="53"/>
      <c r="R278" s="27"/>
      <c r="S278" s="53"/>
      <c r="T278" s="27"/>
      <c r="U278" s="53"/>
    </row>
    <row r="279" spans="6:21" ht="12.75">
      <c r="F279" s="49"/>
      <c r="H279" s="27"/>
      <c r="I279" s="53"/>
      <c r="J279" s="27"/>
      <c r="K279" s="53"/>
      <c r="L279" s="27"/>
      <c r="M279" s="53"/>
      <c r="N279" s="27"/>
      <c r="O279" s="53"/>
      <c r="P279" s="27"/>
      <c r="Q279" s="53"/>
      <c r="R279" s="27"/>
      <c r="S279" s="53"/>
      <c r="T279" s="27"/>
      <c r="U279" s="53"/>
    </row>
    <row r="280" spans="6:21" ht="12.75">
      <c r="F280" s="49"/>
      <c r="H280" s="27"/>
      <c r="I280" s="53"/>
      <c r="J280" s="27"/>
      <c r="K280" s="53"/>
      <c r="L280" s="27"/>
      <c r="M280" s="53"/>
      <c r="N280" s="27"/>
      <c r="O280" s="53"/>
      <c r="P280" s="27"/>
      <c r="Q280" s="53"/>
      <c r="R280" s="27"/>
      <c r="S280" s="53"/>
      <c r="T280" s="27"/>
      <c r="U280" s="53"/>
    </row>
    <row r="281" spans="6:21" ht="12.75">
      <c r="F281" s="49"/>
      <c r="H281" s="27"/>
      <c r="I281" s="53"/>
      <c r="J281" s="27"/>
      <c r="K281" s="53"/>
      <c r="L281" s="27"/>
      <c r="M281" s="53"/>
      <c r="N281" s="27"/>
      <c r="O281" s="53"/>
      <c r="P281" s="27"/>
      <c r="Q281" s="53"/>
      <c r="R281" s="27"/>
      <c r="S281" s="53"/>
      <c r="T281" s="27"/>
      <c r="U281" s="53"/>
    </row>
    <row r="282" spans="6:21" ht="12.75">
      <c r="F282" s="49"/>
      <c r="H282" s="27"/>
      <c r="I282" s="53"/>
      <c r="J282" s="27"/>
      <c r="K282" s="53"/>
      <c r="L282" s="27"/>
      <c r="M282" s="53"/>
      <c r="N282" s="27"/>
      <c r="O282" s="53"/>
      <c r="P282" s="27"/>
      <c r="Q282" s="53"/>
      <c r="R282" s="27"/>
      <c r="S282" s="53"/>
      <c r="T282" s="27"/>
      <c r="U282" s="53"/>
    </row>
    <row r="283" spans="6:21" ht="12.75">
      <c r="F283" s="49"/>
      <c r="H283" s="27"/>
      <c r="I283" s="53"/>
      <c r="J283" s="27"/>
      <c r="K283" s="53"/>
      <c r="L283" s="27"/>
      <c r="M283" s="53"/>
      <c r="N283" s="27"/>
      <c r="O283" s="53"/>
      <c r="P283" s="27"/>
      <c r="Q283" s="53"/>
      <c r="R283" s="27"/>
      <c r="S283" s="53"/>
      <c r="T283" s="27"/>
      <c r="U283" s="53"/>
    </row>
    <row r="284" spans="6:21" ht="12.75">
      <c r="F284" s="49"/>
      <c r="H284" s="27"/>
      <c r="I284" s="53"/>
      <c r="J284" s="27"/>
      <c r="K284" s="53"/>
      <c r="L284" s="27"/>
      <c r="M284" s="53"/>
      <c r="N284" s="27"/>
      <c r="O284" s="53"/>
      <c r="P284" s="27"/>
      <c r="Q284" s="53"/>
      <c r="R284" s="27"/>
      <c r="S284" s="53"/>
      <c r="T284" s="27"/>
      <c r="U284" s="53"/>
    </row>
    <row r="285" spans="6:21" ht="12.75">
      <c r="F285" s="49"/>
      <c r="H285" s="27"/>
      <c r="I285" s="53"/>
      <c r="J285" s="27"/>
      <c r="K285" s="53"/>
      <c r="L285" s="27"/>
      <c r="M285" s="53"/>
      <c r="N285" s="27"/>
      <c r="O285" s="53"/>
      <c r="P285" s="27"/>
      <c r="Q285" s="53"/>
      <c r="R285" s="27"/>
      <c r="S285" s="53"/>
      <c r="T285" s="27"/>
      <c r="U285" s="53"/>
    </row>
    <row r="286" spans="6:21" ht="12.75">
      <c r="F286" s="49"/>
      <c r="H286" s="27"/>
      <c r="I286" s="53"/>
      <c r="J286" s="27"/>
      <c r="K286" s="53"/>
      <c r="L286" s="27"/>
      <c r="M286" s="53"/>
      <c r="N286" s="27"/>
      <c r="O286" s="53"/>
      <c r="P286" s="27"/>
      <c r="Q286" s="53"/>
      <c r="R286" s="27"/>
      <c r="S286" s="53"/>
      <c r="T286" s="27"/>
      <c r="U286" s="53"/>
    </row>
    <row r="287" spans="6:21" ht="12.75">
      <c r="F287" s="49"/>
      <c r="H287" s="27"/>
      <c r="I287" s="53"/>
      <c r="J287" s="27"/>
      <c r="K287" s="53"/>
      <c r="L287" s="27"/>
      <c r="M287" s="53"/>
      <c r="N287" s="27"/>
      <c r="O287" s="53"/>
      <c r="P287" s="27"/>
      <c r="Q287" s="53"/>
      <c r="R287" s="27"/>
      <c r="S287" s="53"/>
      <c r="T287" s="27"/>
      <c r="U287" s="53"/>
    </row>
    <row r="288" spans="6:21" ht="12.75">
      <c r="F288" s="49"/>
      <c r="H288" s="27"/>
      <c r="I288" s="53"/>
      <c r="J288" s="27"/>
      <c r="K288" s="53"/>
      <c r="L288" s="27"/>
      <c r="M288" s="53"/>
      <c r="N288" s="27"/>
      <c r="O288" s="53"/>
      <c r="P288" s="27"/>
      <c r="Q288" s="53"/>
      <c r="R288" s="27"/>
      <c r="S288" s="53"/>
      <c r="T288" s="27"/>
      <c r="U288" s="53"/>
    </row>
    <row r="289" spans="6:21" ht="12.75">
      <c r="F289" s="49"/>
      <c r="H289" s="27"/>
      <c r="I289" s="53"/>
      <c r="J289" s="27"/>
      <c r="K289" s="53"/>
      <c r="L289" s="27"/>
      <c r="M289" s="53"/>
      <c r="N289" s="27"/>
      <c r="O289" s="53"/>
      <c r="P289" s="27"/>
      <c r="Q289" s="53"/>
      <c r="R289" s="27"/>
      <c r="S289" s="53"/>
      <c r="T289" s="27"/>
      <c r="U289" s="53"/>
    </row>
    <row r="290" spans="6:21" ht="12.75">
      <c r="F290" s="49"/>
      <c r="H290" s="27"/>
      <c r="I290" s="53"/>
      <c r="J290" s="27"/>
      <c r="K290" s="53"/>
      <c r="L290" s="27"/>
      <c r="M290" s="53"/>
      <c r="N290" s="27"/>
      <c r="O290" s="53"/>
      <c r="P290" s="27"/>
      <c r="Q290" s="53"/>
      <c r="R290" s="27"/>
      <c r="S290" s="53"/>
      <c r="T290" s="27"/>
      <c r="U290" s="53"/>
    </row>
    <row r="291" spans="6:21" ht="12.75">
      <c r="F291" s="49"/>
      <c r="H291" s="27"/>
      <c r="I291" s="53"/>
      <c r="J291" s="27"/>
      <c r="K291" s="53"/>
      <c r="L291" s="27"/>
      <c r="M291" s="53"/>
      <c r="N291" s="27"/>
      <c r="O291" s="53"/>
      <c r="P291" s="27"/>
      <c r="Q291" s="53"/>
      <c r="R291" s="27"/>
      <c r="S291" s="53"/>
      <c r="T291" s="27"/>
      <c r="U291" s="53"/>
    </row>
    <row r="292" spans="6:21" ht="12.75">
      <c r="F292" s="49"/>
      <c r="H292" s="27"/>
      <c r="I292" s="53"/>
      <c r="J292" s="27"/>
      <c r="K292" s="53"/>
      <c r="L292" s="27"/>
      <c r="M292" s="53"/>
      <c r="N292" s="27"/>
      <c r="O292" s="53"/>
      <c r="P292" s="27"/>
      <c r="Q292" s="53"/>
      <c r="R292" s="27"/>
      <c r="S292" s="53"/>
      <c r="T292" s="27"/>
      <c r="U292" s="53"/>
    </row>
    <row r="293" spans="6:21" ht="12.75">
      <c r="F293" s="49"/>
      <c r="H293" s="27"/>
      <c r="I293" s="53"/>
      <c r="J293" s="27"/>
      <c r="K293" s="53"/>
      <c r="L293" s="27"/>
      <c r="M293" s="53"/>
      <c r="N293" s="27"/>
      <c r="O293" s="53"/>
      <c r="P293" s="27"/>
      <c r="Q293" s="53"/>
      <c r="R293" s="27"/>
      <c r="S293" s="53"/>
      <c r="T293" s="27"/>
      <c r="U293" s="53"/>
    </row>
    <row r="294" spans="6:21" ht="12.75">
      <c r="F294" s="49"/>
      <c r="H294" s="27"/>
      <c r="I294" s="53"/>
      <c r="J294" s="27"/>
      <c r="K294" s="53"/>
      <c r="L294" s="27"/>
      <c r="M294" s="53"/>
      <c r="N294" s="27"/>
      <c r="O294" s="53"/>
      <c r="P294" s="27"/>
      <c r="Q294" s="53"/>
      <c r="R294" s="27"/>
      <c r="S294" s="53"/>
      <c r="T294" s="27"/>
      <c r="U294" s="53"/>
    </row>
    <row r="295" spans="6:21" ht="12.75">
      <c r="F295" s="49"/>
      <c r="H295" s="27"/>
      <c r="I295" s="53"/>
      <c r="J295" s="27"/>
      <c r="K295" s="53"/>
      <c r="L295" s="27"/>
      <c r="M295" s="53"/>
      <c r="N295" s="27"/>
      <c r="O295" s="53"/>
      <c r="P295" s="27"/>
      <c r="Q295" s="53"/>
      <c r="R295" s="27"/>
      <c r="S295" s="53"/>
      <c r="T295" s="27"/>
      <c r="U295" s="53"/>
    </row>
    <row r="296" spans="6:21" ht="12.75">
      <c r="F296" s="49"/>
      <c r="H296" s="27"/>
      <c r="I296" s="53"/>
      <c r="J296" s="27"/>
      <c r="K296" s="53"/>
      <c r="L296" s="27"/>
      <c r="M296" s="53"/>
      <c r="N296" s="27"/>
      <c r="O296" s="53"/>
      <c r="P296" s="27"/>
      <c r="Q296" s="53"/>
      <c r="R296" s="27"/>
      <c r="S296" s="53"/>
      <c r="T296" s="27"/>
      <c r="U296" s="53"/>
    </row>
    <row r="297" spans="6:21" ht="12.75">
      <c r="F297" s="49"/>
      <c r="H297" s="27"/>
      <c r="I297" s="53"/>
      <c r="J297" s="27"/>
      <c r="K297" s="53"/>
      <c r="L297" s="27"/>
      <c r="M297" s="53"/>
      <c r="N297" s="27"/>
      <c r="O297" s="53"/>
      <c r="P297" s="27"/>
      <c r="Q297" s="53"/>
      <c r="R297" s="27"/>
      <c r="S297" s="53"/>
      <c r="T297" s="27"/>
      <c r="U297" s="53"/>
    </row>
    <row r="298" spans="6:21" ht="12.75">
      <c r="F298" s="49"/>
      <c r="H298" s="27"/>
      <c r="I298" s="53"/>
      <c r="J298" s="27"/>
      <c r="K298" s="53"/>
      <c r="L298" s="27"/>
      <c r="M298" s="53"/>
      <c r="N298" s="27"/>
      <c r="O298" s="53"/>
      <c r="P298" s="27"/>
      <c r="Q298" s="53"/>
      <c r="R298" s="27"/>
      <c r="S298" s="53"/>
      <c r="T298" s="27"/>
      <c r="U298" s="53"/>
    </row>
    <row r="299" spans="6:21" ht="12.75">
      <c r="F299" s="49"/>
      <c r="H299" s="27"/>
      <c r="I299" s="53"/>
      <c r="J299" s="27"/>
      <c r="K299" s="53"/>
      <c r="L299" s="27"/>
      <c r="M299" s="53"/>
      <c r="N299" s="27"/>
      <c r="O299" s="53"/>
      <c r="P299" s="27"/>
      <c r="Q299" s="53"/>
      <c r="R299" s="27"/>
      <c r="S299" s="53"/>
      <c r="T299" s="27"/>
      <c r="U299" s="53"/>
    </row>
    <row r="300" spans="6:21" ht="12.75">
      <c r="F300" s="49"/>
      <c r="H300" s="27"/>
      <c r="I300" s="53"/>
      <c r="J300" s="27"/>
      <c r="K300" s="53"/>
      <c r="L300" s="27"/>
      <c r="M300" s="53"/>
      <c r="N300" s="27"/>
      <c r="O300" s="53"/>
      <c r="P300" s="27"/>
      <c r="Q300" s="53"/>
      <c r="R300" s="27"/>
      <c r="S300" s="53"/>
      <c r="T300" s="27"/>
      <c r="U300" s="53"/>
    </row>
    <row r="301" spans="6:21" ht="12.75">
      <c r="F301" s="49"/>
      <c r="H301" s="27"/>
      <c r="I301" s="53"/>
      <c r="J301" s="27"/>
      <c r="K301" s="53"/>
      <c r="L301" s="27"/>
      <c r="M301" s="53"/>
      <c r="N301" s="27"/>
      <c r="O301" s="53"/>
      <c r="P301" s="27"/>
      <c r="Q301" s="53"/>
      <c r="R301" s="27"/>
      <c r="S301" s="53"/>
      <c r="T301" s="27"/>
      <c r="U301" s="53"/>
    </row>
    <row r="302" spans="6:21" ht="12.75">
      <c r="F302" s="49"/>
      <c r="H302" s="27"/>
      <c r="I302" s="53"/>
      <c r="J302" s="27"/>
      <c r="K302" s="53"/>
      <c r="L302" s="27"/>
      <c r="M302" s="53"/>
      <c r="N302" s="27"/>
      <c r="O302" s="53"/>
      <c r="P302" s="27"/>
      <c r="Q302" s="53"/>
      <c r="R302" s="27"/>
      <c r="S302" s="53"/>
      <c r="T302" s="27"/>
      <c r="U302" s="53"/>
    </row>
    <row r="303" spans="6:21" ht="12.75">
      <c r="F303" s="49"/>
      <c r="H303" s="27"/>
      <c r="I303" s="53"/>
      <c r="J303" s="27"/>
      <c r="K303" s="53"/>
      <c r="L303" s="27"/>
      <c r="M303" s="53"/>
      <c r="N303" s="27"/>
      <c r="O303" s="53"/>
      <c r="P303" s="27"/>
      <c r="Q303" s="53"/>
      <c r="R303" s="27"/>
      <c r="S303" s="53"/>
      <c r="T303" s="27"/>
      <c r="U303" s="53"/>
    </row>
    <row r="304" spans="6:21" ht="12.75">
      <c r="F304" s="49"/>
      <c r="H304" s="27"/>
      <c r="I304" s="53"/>
      <c r="J304" s="27"/>
      <c r="K304" s="53"/>
      <c r="L304" s="27"/>
      <c r="M304" s="53"/>
      <c r="N304" s="27"/>
      <c r="O304" s="53"/>
      <c r="P304" s="27"/>
      <c r="Q304" s="53"/>
      <c r="R304" s="27"/>
      <c r="S304" s="53"/>
      <c r="T304" s="27"/>
      <c r="U304" s="53"/>
    </row>
    <row r="305" spans="6:21" ht="12.75">
      <c r="F305" s="49"/>
      <c r="H305" s="27"/>
      <c r="I305" s="53"/>
      <c r="J305" s="27"/>
      <c r="K305" s="53"/>
      <c r="L305" s="27"/>
      <c r="M305" s="53"/>
      <c r="N305" s="27"/>
      <c r="O305" s="53"/>
      <c r="P305" s="27"/>
      <c r="Q305" s="53"/>
      <c r="R305" s="27"/>
      <c r="S305" s="53"/>
      <c r="T305" s="27"/>
      <c r="U305" s="53"/>
    </row>
    <row r="306" spans="6:21" ht="12.75">
      <c r="F306" s="49"/>
      <c r="H306" s="27"/>
      <c r="I306" s="53"/>
      <c r="J306" s="27"/>
      <c r="K306" s="53"/>
      <c r="L306" s="27"/>
      <c r="M306" s="53"/>
      <c r="N306" s="27"/>
      <c r="O306" s="53"/>
      <c r="P306" s="27"/>
      <c r="Q306" s="53"/>
      <c r="R306" s="27"/>
      <c r="S306" s="53"/>
      <c r="T306" s="27"/>
      <c r="U306" s="53"/>
    </row>
    <row r="307" spans="6:21" ht="12.75">
      <c r="F307" s="49"/>
      <c r="H307" s="27"/>
      <c r="I307" s="53"/>
      <c r="J307" s="27"/>
      <c r="K307" s="53"/>
      <c r="L307" s="27"/>
      <c r="M307" s="53"/>
      <c r="N307" s="27"/>
      <c r="O307" s="53"/>
      <c r="P307" s="27"/>
      <c r="Q307" s="53"/>
      <c r="R307" s="27"/>
      <c r="S307" s="53"/>
      <c r="T307" s="27"/>
      <c r="U307" s="53"/>
    </row>
    <row r="308" spans="6:21" ht="12.75">
      <c r="F308" s="49"/>
      <c r="H308" s="27"/>
      <c r="I308" s="53"/>
      <c r="J308" s="27"/>
      <c r="K308" s="53"/>
      <c r="L308" s="27"/>
      <c r="M308" s="53"/>
      <c r="N308" s="27"/>
      <c r="O308" s="53"/>
      <c r="P308" s="27"/>
      <c r="Q308" s="53"/>
      <c r="R308" s="27"/>
      <c r="S308" s="53"/>
      <c r="T308" s="27"/>
      <c r="U308" s="53"/>
    </row>
    <row r="309" spans="6:21" ht="12.75">
      <c r="F309" s="49"/>
      <c r="H309" s="27"/>
      <c r="I309" s="53"/>
      <c r="J309" s="27"/>
      <c r="K309" s="53"/>
      <c r="L309" s="27"/>
      <c r="M309" s="53"/>
      <c r="N309" s="27"/>
      <c r="O309" s="53"/>
      <c r="P309" s="27"/>
      <c r="Q309" s="53"/>
      <c r="R309" s="27"/>
      <c r="S309" s="53"/>
      <c r="T309" s="27"/>
      <c r="U309" s="53"/>
    </row>
    <row r="310" spans="6:21" ht="12.75">
      <c r="F310" s="49"/>
      <c r="H310" s="27"/>
      <c r="I310" s="53"/>
      <c r="J310" s="27"/>
      <c r="K310" s="53"/>
      <c r="L310" s="27"/>
      <c r="M310" s="53"/>
      <c r="N310" s="27"/>
      <c r="O310" s="53"/>
      <c r="P310" s="27"/>
      <c r="Q310" s="53"/>
      <c r="R310" s="27"/>
      <c r="S310" s="53"/>
      <c r="T310" s="27"/>
      <c r="U310" s="53"/>
    </row>
    <row r="311" spans="6:21" ht="12.75">
      <c r="F311" s="49"/>
      <c r="H311" s="27"/>
      <c r="I311" s="53"/>
      <c r="J311" s="27"/>
      <c r="K311" s="53"/>
      <c r="L311" s="27"/>
      <c r="M311" s="53"/>
      <c r="N311" s="27"/>
      <c r="O311" s="53"/>
      <c r="P311" s="27"/>
      <c r="Q311" s="53"/>
      <c r="R311" s="27"/>
      <c r="S311" s="53"/>
      <c r="T311" s="27"/>
      <c r="U311" s="53"/>
    </row>
    <row r="312" spans="6:21" ht="12.75">
      <c r="F312" s="49"/>
      <c r="H312" s="27"/>
      <c r="I312" s="53"/>
      <c r="J312" s="27"/>
      <c r="K312" s="53"/>
      <c r="L312" s="27"/>
      <c r="M312" s="53"/>
      <c r="N312" s="27"/>
      <c r="O312" s="53"/>
      <c r="P312" s="27"/>
      <c r="Q312" s="53"/>
      <c r="R312" s="27"/>
      <c r="S312" s="53"/>
      <c r="T312" s="27"/>
      <c r="U312" s="53"/>
    </row>
    <row r="313" spans="6:21" ht="12.75">
      <c r="F313" s="49"/>
      <c r="H313" s="27"/>
      <c r="I313" s="53"/>
      <c r="J313" s="27"/>
      <c r="K313" s="53"/>
      <c r="L313" s="27"/>
      <c r="M313" s="53"/>
      <c r="N313" s="27"/>
      <c r="O313" s="53"/>
      <c r="P313" s="27"/>
      <c r="Q313" s="53"/>
      <c r="R313" s="27"/>
      <c r="S313" s="53"/>
      <c r="T313" s="27"/>
      <c r="U313" s="53"/>
    </row>
    <row r="314" spans="6:21" ht="12.75">
      <c r="F314" s="49"/>
      <c r="H314" s="27"/>
      <c r="I314" s="53"/>
      <c r="J314" s="27"/>
      <c r="K314" s="53"/>
      <c r="L314" s="27"/>
      <c r="M314" s="53"/>
      <c r="N314" s="27"/>
      <c r="O314" s="53"/>
      <c r="P314" s="27"/>
      <c r="Q314" s="53"/>
      <c r="R314" s="27"/>
      <c r="S314" s="53"/>
      <c r="T314" s="27"/>
      <c r="U314" s="53"/>
    </row>
    <row r="315" spans="6:21" ht="12.75">
      <c r="F315" s="49"/>
      <c r="H315" s="27"/>
      <c r="I315" s="53"/>
      <c r="J315" s="27"/>
      <c r="K315" s="53"/>
      <c r="L315" s="27"/>
      <c r="M315" s="53"/>
      <c r="N315" s="27"/>
      <c r="O315" s="53"/>
      <c r="P315" s="27"/>
      <c r="Q315" s="53"/>
      <c r="R315" s="27"/>
      <c r="S315" s="53"/>
      <c r="T315" s="27"/>
      <c r="U315" s="53"/>
    </row>
    <row r="316" spans="6:21" ht="12.75">
      <c r="F316" s="49"/>
      <c r="H316" s="27"/>
      <c r="I316" s="53"/>
      <c r="J316" s="27"/>
      <c r="K316" s="53"/>
      <c r="L316" s="27"/>
      <c r="M316" s="53"/>
      <c r="N316" s="27"/>
      <c r="O316" s="53"/>
      <c r="P316" s="27"/>
      <c r="Q316" s="53"/>
      <c r="R316" s="27"/>
      <c r="S316" s="53"/>
      <c r="T316" s="27"/>
      <c r="U316" s="53"/>
    </row>
    <row r="317" spans="6:21" ht="12.75">
      <c r="F317" s="49"/>
      <c r="H317" s="27"/>
      <c r="I317" s="53"/>
      <c r="J317" s="27"/>
      <c r="K317" s="53"/>
      <c r="L317" s="27"/>
      <c r="M317" s="53"/>
      <c r="N317" s="27"/>
      <c r="O317" s="53"/>
      <c r="P317" s="27"/>
      <c r="Q317" s="53"/>
      <c r="R317" s="27"/>
      <c r="S317" s="53"/>
      <c r="T317" s="27"/>
      <c r="U317" s="53"/>
    </row>
    <row r="318" spans="6:21" ht="12.75">
      <c r="F318" s="49"/>
      <c r="H318" s="27"/>
      <c r="I318" s="53"/>
      <c r="J318" s="27"/>
      <c r="K318" s="53"/>
      <c r="L318" s="27"/>
      <c r="M318" s="53"/>
      <c r="N318" s="27"/>
      <c r="O318" s="53"/>
      <c r="P318" s="27"/>
      <c r="Q318" s="53"/>
      <c r="R318" s="27"/>
      <c r="S318" s="53"/>
      <c r="T318" s="27"/>
      <c r="U318" s="53"/>
    </row>
    <row r="319" spans="6:21" ht="12.75">
      <c r="F319" s="49"/>
      <c r="H319" s="27"/>
      <c r="I319" s="53"/>
      <c r="J319" s="27"/>
      <c r="K319" s="53"/>
      <c r="L319" s="27"/>
      <c r="M319" s="53"/>
      <c r="N319" s="27"/>
      <c r="O319" s="53"/>
      <c r="P319" s="27"/>
      <c r="Q319" s="53"/>
      <c r="R319" s="27"/>
      <c r="S319" s="53"/>
      <c r="T319" s="27"/>
      <c r="U319" s="53"/>
    </row>
    <row r="320" spans="6:21" ht="12.75">
      <c r="F320" s="49"/>
      <c r="H320" s="27"/>
      <c r="I320" s="53"/>
      <c r="J320" s="27"/>
      <c r="K320" s="53"/>
      <c r="L320" s="27"/>
      <c r="M320" s="53"/>
      <c r="N320" s="27"/>
      <c r="O320" s="53"/>
      <c r="P320" s="27"/>
      <c r="Q320" s="53"/>
      <c r="R320" s="27"/>
      <c r="S320" s="53"/>
      <c r="T320" s="27"/>
      <c r="U320" s="53"/>
    </row>
    <row r="321" spans="6:21" ht="12.75">
      <c r="F321" s="49"/>
      <c r="H321" s="27"/>
      <c r="I321" s="53"/>
      <c r="J321" s="27"/>
      <c r="K321" s="53"/>
      <c r="L321" s="27"/>
      <c r="M321" s="53"/>
      <c r="N321" s="27"/>
      <c r="O321" s="53"/>
      <c r="P321" s="27"/>
      <c r="Q321" s="53"/>
      <c r="R321" s="27"/>
      <c r="S321" s="53"/>
      <c r="T321" s="27"/>
      <c r="U321" s="53"/>
    </row>
    <row r="322" spans="6:21" ht="12.75">
      <c r="F322" s="49"/>
      <c r="H322" s="27"/>
      <c r="I322" s="53"/>
      <c r="J322" s="27"/>
      <c r="K322" s="53"/>
      <c r="L322" s="27"/>
      <c r="M322" s="53"/>
      <c r="N322" s="27"/>
      <c r="O322" s="53"/>
      <c r="P322" s="27"/>
      <c r="Q322" s="53"/>
      <c r="R322" s="27"/>
      <c r="S322" s="53"/>
      <c r="T322" s="27"/>
      <c r="U322" s="53"/>
    </row>
    <row r="323" spans="6:21" ht="12.75">
      <c r="F323" s="49"/>
      <c r="H323" s="27"/>
      <c r="I323" s="53"/>
      <c r="J323" s="27"/>
      <c r="K323" s="53"/>
      <c r="L323" s="27"/>
      <c r="M323" s="53"/>
      <c r="N323" s="27"/>
      <c r="O323" s="53"/>
      <c r="P323" s="27"/>
      <c r="Q323" s="53"/>
      <c r="R323" s="27"/>
      <c r="S323" s="53"/>
      <c r="T323" s="27"/>
      <c r="U323" s="53"/>
    </row>
    <row r="324" spans="6:21" ht="12.75">
      <c r="F324" s="49"/>
      <c r="H324" s="27"/>
      <c r="I324" s="53"/>
      <c r="J324" s="27"/>
      <c r="K324" s="53"/>
      <c r="L324" s="27"/>
      <c r="M324" s="53"/>
      <c r="N324" s="27"/>
      <c r="O324" s="53"/>
      <c r="P324" s="27"/>
      <c r="Q324" s="53"/>
      <c r="R324" s="27"/>
      <c r="S324" s="53"/>
      <c r="T324" s="27"/>
      <c r="U324" s="53"/>
    </row>
    <row r="325" spans="6:21" ht="12.75">
      <c r="F325" s="49"/>
      <c r="H325" s="27"/>
      <c r="I325" s="53"/>
      <c r="J325" s="27"/>
      <c r="K325" s="53"/>
      <c r="L325" s="27"/>
      <c r="M325" s="53"/>
      <c r="N325" s="27"/>
      <c r="O325" s="53"/>
      <c r="P325" s="27"/>
      <c r="Q325" s="53"/>
      <c r="R325" s="27"/>
      <c r="S325" s="53"/>
      <c r="T325" s="27"/>
      <c r="U325" s="53"/>
    </row>
    <row r="326" spans="6:21" ht="12.75">
      <c r="F326" s="49"/>
      <c r="H326" s="27"/>
      <c r="I326" s="53"/>
      <c r="J326" s="27"/>
      <c r="K326" s="53"/>
      <c r="L326" s="27"/>
      <c r="M326" s="53"/>
      <c r="N326" s="27"/>
      <c r="O326" s="53"/>
      <c r="P326" s="27"/>
      <c r="Q326" s="53"/>
      <c r="R326" s="27"/>
      <c r="S326" s="53"/>
      <c r="T326" s="27"/>
      <c r="U326" s="53"/>
    </row>
    <row r="327" spans="6:21" ht="12.75">
      <c r="F327" s="49"/>
      <c r="H327" s="27"/>
      <c r="I327" s="53"/>
      <c r="J327" s="27"/>
      <c r="K327" s="53"/>
      <c r="L327" s="27"/>
      <c r="M327" s="53"/>
      <c r="N327" s="27"/>
      <c r="O327" s="53"/>
      <c r="P327" s="27"/>
      <c r="Q327" s="53"/>
      <c r="R327" s="27"/>
      <c r="S327" s="53"/>
      <c r="T327" s="27"/>
      <c r="U327" s="53"/>
    </row>
    <row r="328" spans="6:21" ht="12.75">
      <c r="F328" s="49"/>
      <c r="H328" s="27"/>
      <c r="I328" s="53"/>
      <c r="J328" s="27"/>
      <c r="K328" s="53"/>
      <c r="L328" s="27"/>
      <c r="M328" s="53"/>
      <c r="N328" s="27"/>
      <c r="O328" s="53"/>
      <c r="P328" s="27"/>
      <c r="Q328" s="53"/>
      <c r="R328" s="27"/>
      <c r="S328" s="53"/>
      <c r="T328" s="27"/>
      <c r="U328" s="53"/>
    </row>
    <row r="329" spans="6:21" ht="12.75">
      <c r="F329" s="49"/>
      <c r="H329" s="27"/>
      <c r="I329" s="53"/>
      <c r="J329" s="27"/>
      <c r="K329" s="53"/>
      <c r="L329" s="27"/>
      <c r="M329" s="53"/>
      <c r="N329" s="27"/>
      <c r="O329" s="53"/>
      <c r="P329" s="27"/>
      <c r="Q329" s="53"/>
      <c r="R329" s="27"/>
      <c r="S329" s="53"/>
      <c r="T329" s="27"/>
      <c r="U329" s="53"/>
    </row>
    <row r="330" spans="6:21" ht="12.75">
      <c r="F330" s="49"/>
      <c r="H330" s="27"/>
      <c r="I330" s="53"/>
      <c r="J330" s="27"/>
      <c r="K330" s="53"/>
      <c r="L330" s="27"/>
      <c r="M330" s="53"/>
      <c r="N330" s="27"/>
      <c r="O330" s="53"/>
      <c r="P330" s="27"/>
      <c r="Q330" s="53"/>
      <c r="R330" s="27"/>
      <c r="S330" s="53"/>
      <c r="T330" s="27"/>
      <c r="U330" s="53"/>
    </row>
    <row r="331" spans="6:21" ht="12.75">
      <c r="F331" s="49"/>
      <c r="H331" s="27"/>
      <c r="I331" s="53"/>
      <c r="J331" s="27"/>
      <c r="K331" s="53"/>
      <c r="L331" s="27"/>
      <c r="M331" s="53"/>
      <c r="N331" s="27"/>
      <c r="O331" s="53"/>
      <c r="P331" s="27"/>
      <c r="Q331" s="53"/>
      <c r="R331" s="27"/>
      <c r="S331" s="53"/>
      <c r="T331" s="27"/>
      <c r="U331" s="53"/>
    </row>
    <row r="332" spans="6:21" ht="12.75">
      <c r="F332" s="49"/>
      <c r="H332" s="27"/>
      <c r="I332" s="53"/>
      <c r="J332" s="27"/>
      <c r="K332" s="53"/>
      <c r="L332" s="27"/>
      <c r="M332" s="53"/>
      <c r="N332" s="27"/>
      <c r="O332" s="53"/>
      <c r="P332" s="27"/>
      <c r="Q332" s="53"/>
      <c r="R332" s="27"/>
      <c r="S332" s="53"/>
      <c r="T332" s="27"/>
      <c r="U332" s="53"/>
    </row>
    <row r="333" spans="6:21" ht="12.75">
      <c r="F333" s="49"/>
      <c r="H333" s="27"/>
      <c r="I333" s="53"/>
      <c r="J333" s="27"/>
      <c r="K333" s="53"/>
      <c r="L333" s="27"/>
      <c r="M333" s="53"/>
      <c r="N333" s="27"/>
      <c r="O333" s="53"/>
      <c r="P333" s="27"/>
      <c r="Q333" s="53"/>
      <c r="R333" s="27"/>
      <c r="S333" s="53"/>
      <c r="T333" s="27"/>
      <c r="U333" s="53"/>
    </row>
    <row r="334" spans="6:21" ht="12.75">
      <c r="F334" s="49"/>
      <c r="H334" s="27"/>
      <c r="I334" s="53"/>
      <c r="J334" s="27"/>
      <c r="K334" s="53"/>
      <c r="L334" s="27"/>
      <c r="M334" s="53"/>
      <c r="N334" s="27"/>
      <c r="O334" s="53"/>
      <c r="P334" s="27"/>
      <c r="Q334" s="53"/>
      <c r="R334" s="27"/>
      <c r="S334" s="53"/>
      <c r="T334" s="27"/>
      <c r="U334" s="53"/>
    </row>
    <row r="335" spans="6:21" ht="12.75">
      <c r="F335" s="49"/>
      <c r="H335" s="27"/>
      <c r="I335" s="53"/>
      <c r="J335" s="27"/>
      <c r="K335" s="53"/>
      <c r="L335" s="27"/>
      <c r="M335" s="53"/>
      <c r="N335" s="27"/>
      <c r="O335" s="53"/>
      <c r="P335" s="27"/>
      <c r="Q335" s="53"/>
      <c r="R335" s="27"/>
      <c r="S335" s="53"/>
      <c r="T335" s="27"/>
      <c r="U335" s="53"/>
    </row>
    <row r="336" spans="6:21" ht="12.75">
      <c r="F336" s="49"/>
      <c r="H336" s="27"/>
      <c r="I336" s="53"/>
      <c r="J336" s="27"/>
      <c r="K336" s="53"/>
      <c r="L336" s="27"/>
      <c r="M336" s="53"/>
      <c r="N336" s="27"/>
      <c r="O336" s="53"/>
      <c r="P336" s="27"/>
      <c r="Q336" s="53"/>
      <c r="R336" s="27"/>
      <c r="S336" s="53"/>
      <c r="T336" s="27"/>
      <c r="U336" s="53"/>
    </row>
    <row r="337" spans="6:21" ht="12.75">
      <c r="F337" s="49"/>
      <c r="H337" s="27"/>
      <c r="I337" s="53"/>
      <c r="J337" s="27"/>
      <c r="K337" s="53"/>
      <c r="L337" s="27"/>
      <c r="M337" s="53"/>
      <c r="N337" s="27"/>
      <c r="O337" s="53"/>
      <c r="P337" s="27"/>
      <c r="Q337" s="53"/>
      <c r="R337" s="27"/>
      <c r="S337" s="53"/>
      <c r="T337" s="27"/>
      <c r="U337" s="53"/>
    </row>
    <row r="338" spans="6:21" ht="12.75">
      <c r="F338" s="49"/>
      <c r="H338" s="27"/>
      <c r="I338" s="53"/>
      <c r="J338" s="27"/>
      <c r="K338" s="53"/>
      <c r="L338" s="27"/>
      <c r="M338" s="53"/>
      <c r="N338" s="27"/>
      <c r="O338" s="53"/>
      <c r="P338" s="27"/>
      <c r="Q338" s="53"/>
      <c r="R338" s="27"/>
      <c r="S338" s="53"/>
      <c r="T338" s="27"/>
      <c r="U338" s="53"/>
    </row>
    <row r="339" spans="6:21" ht="12.75">
      <c r="F339" s="49"/>
      <c r="H339" s="27"/>
      <c r="I339" s="53"/>
      <c r="J339" s="27"/>
      <c r="K339" s="53"/>
      <c r="L339" s="27"/>
      <c r="M339" s="53"/>
      <c r="N339" s="27"/>
      <c r="O339" s="53"/>
      <c r="P339" s="27"/>
      <c r="Q339" s="53"/>
      <c r="R339" s="27"/>
      <c r="S339" s="53"/>
      <c r="T339" s="27"/>
      <c r="U339" s="53"/>
    </row>
    <row r="340" spans="6:21" ht="12.75">
      <c r="F340" s="49"/>
      <c r="H340" s="27"/>
      <c r="I340" s="53"/>
      <c r="J340" s="27"/>
      <c r="K340" s="53"/>
      <c r="L340" s="27"/>
      <c r="M340" s="53"/>
      <c r="N340" s="27"/>
      <c r="O340" s="53"/>
      <c r="P340" s="27"/>
      <c r="Q340" s="53"/>
      <c r="R340" s="27"/>
      <c r="S340" s="53"/>
      <c r="T340" s="27"/>
      <c r="U340" s="53"/>
    </row>
    <row r="341" spans="6:21" ht="12.75">
      <c r="F341" s="49"/>
      <c r="H341" s="27"/>
      <c r="I341" s="53"/>
      <c r="J341" s="27"/>
      <c r="K341" s="53"/>
      <c r="L341" s="27"/>
      <c r="M341" s="53"/>
      <c r="N341" s="27"/>
      <c r="O341" s="53"/>
      <c r="P341" s="27"/>
      <c r="Q341" s="53"/>
      <c r="R341" s="27"/>
      <c r="S341" s="53"/>
      <c r="T341" s="27"/>
      <c r="U341" s="53"/>
    </row>
    <row r="342" spans="6:21" ht="12.75">
      <c r="F342" s="49"/>
      <c r="H342" s="27"/>
      <c r="I342" s="53"/>
      <c r="J342" s="27"/>
      <c r="K342" s="53"/>
      <c r="L342" s="27"/>
      <c r="M342" s="53"/>
      <c r="N342" s="27"/>
      <c r="O342" s="53"/>
      <c r="P342" s="27"/>
      <c r="Q342" s="53"/>
      <c r="R342" s="27"/>
      <c r="S342" s="53"/>
      <c r="T342" s="27"/>
      <c r="U342" s="53"/>
    </row>
    <row r="343" spans="6:21" ht="12.75">
      <c r="F343" s="49"/>
      <c r="H343" s="27"/>
      <c r="I343" s="53"/>
      <c r="J343" s="27"/>
      <c r="K343" s="53"/>
      <c r="L343" s="27"/>
      <c r="M343" s="53"/>
      <c r="N343" s="27"/>
      <c r="O343" s="53"/>
      <c r="P343" s="27"/>
      <c r="Q343" s="53"/>
      <c r="R343" s="27"/>
      <c r="S343" s="53"/>
      <c r="T343" s="27"/>
      <c r="U343" s="53"/>
    </row>
    <row r="344" spans="6:21" ht="12.75">
      <c r="F344" s="49"/>
      <c r="H344" s="27"/>
      <c r="I344" s="53"/>
      <c r="J344" s="27"/>
      <c r="K344" s="53"/>
      <c r="L344" s="27"/>
      <c r="M344" s="53"/>
      <c r="N344" s="27"/>
      <c r="O344" s="53"/>
      <c r="P344" s="27"/>
      <c r="Q344" s="53"/>
      <c r="R344" s="27"/>
      <c r="S344" s="53"/>
      <c r="T344" s="27"/>
      <c r="U344" s="53"/>
    </row>
    <row r="345" spans="6:21" ht="12.75">
      <c r="F345" s="49"/>
      <c r="H345" s="27"/>
      <c r="I345" s="53"/>
      <c r="J345" s="27"/>
      <c r="K345" s="53"/>
      <c r="L345" s="27"/>
      <c r="M345" s="53"/>
      <c r="N345" s="27"/>
      <c r="O345" s="53"/>
      <c r="P345" s="27"/>
      <c r="Q345" s="53"/>
      <c r="R345" s="27"/>
      <c r="S345" s="53"/>
      <c r="T345" s="27"/>
      <c r="U345" s="53"/>
    </row>
    <row r="346" spans="6:21" ht="12.75">
      <c r="F346" s="49"/>
      <c r="H346" s="27"/>
      <c r="I346" s="53"/>
      <c r="J346" s="27"/>
      <c r="K346" s="53"/>
      <c r="L346" s="27"/>
      <c r="M346" s="53"/>
      <c r="N346" s="27"/>
      <c r="O346" s="53"/>
      <c r="P346" s="27"/>
      <c r="Q346" s="53"/>
      <c r="R346" s="27"/>
      <c r="S346" s="53"/>
      <c r="T346" s="27"/>
      <c r="U346" s="53"/>
    </row>
    <row r="347" spans="6:21" ht="12.75">
      <c r="F347" s="49"/>
      <c r="H347" s="27"/>
      <c r="I347" s="53"/>
      <c r="J347" s="27"/>
      <c r="K347" s="53"/>
      <c r="L347" s="27"/>
      <c r="M347" s="53"/>
      <c r="N347" s="27"/>
      <c r="O347" s="53"/>
      <c r="P347" s="27"/>
      <c r="Q347" s="53"/>
      <c r="R347" s="27"/>
      <c r="S347" s="53"/>
      <c r="T347" s="27"/>
      <c r="U347" s="53"/>
    </row>
    <row r="348" spans="6:21" ht="12.75">
      <c r="F348" s="49"/>
      <c r="H348" s="27"/>
      <c r="I348" s="53"/>
      <c r="J348" s="27"/>
      <c r="K348" s="53"/>
      <c r="L348" s="27"/>
      <c r="M348" s="53"/>
      <c r="N348" s="27"/>
      <c r="O348" s="53"/>
      <c r="P348" s="27"/>
      <c r="Q348" s="53"/>
      <c r="R348" s="27"/>
      <c r="S348" s="53"/>
      <c r="T348" s="27"/>
      <c r="U348" s="53"/>
    </row>
    <row r="349" spans="6:21" ht="12.75">
      <c r="F349" s="49"/>
      <c r="H349" s="27"/>
      <c r="I349" s="53"/>
      <c r="J349" s="27"/>
      <c r="K349" s="53"/>
      <c r="L349" s="27"/>
      <c r="M349" s="53"/>
      <c r="N349" s="27"/>
      <c r="O349" s="53"/>
      <c r="P349" s="27"/>
      <c r="Q349" s="53"/>
      <c r="R349" s="27"/>
      <c r="S349" s="53"/>
      <c r="T349" s="27"/>
      <c r="U349" s="53"/>
    </row>
    <row r="350" spans="6:21" ht="12.75">
      <c r="F350" s="49"/>
      <c r="H350" s="27"/>
      <c r="I350" s="53"/>
      <c r="J350" s="27"/>
      <c r="K350" s="53"/>
      <c r="L350" s="27"/>
      <c r="M350" s="53"/>
      <c r="N350" s="27"/>
      <c r="O350" s="53"/>
      <c r="P350" s="27"/>
      <c r="Q350" s="53"/>
      <c r="R350" s="27"/>
      <c r="S350" s="53"/>
      <c r="T350" s="27"/>
      <c r="U350" s="53"/>
    </row>
    <row r="351" spans="6:21" ht="12.75">
      <c r="F351" s="49"/>
      <c r="H351" s="27"/>
      <c r="I351" s="53"/>
      <c r="J351" s="27"/>
      <c r="K351" s="53"/>
      <c r="L351" s="27"/>
      <c r="M351" s="53"/>
      <c r="N351" s="27"/>
      <c r="O351" s="53"/>
      <c r="P351" s="27"/>
      <c r="Q351" s="53"/>
      <c r="R351" s="27"/>
      <c r="S351" s="53"/>
      <c r="T351" s="27"/>
      <c r="U351" s="53"/>
    </row>
    <row r="352" spans="6:21" ht="12.75">
      <c r="F352" s="49"/>
      <c r="H352" s="27"/>
      <c r="I352" s="53"/>
      <c r="J352" s="27"/>
      <c r="K352" s="53"/>
      <c r="L352" s="27"/>
      <c r="M352" s="53"/>
      <c r="N352" s="27"/>
      <c r="O352" s="53"/>
      <c r="P352" s="27"/>
      <c r="Q352" s="53"/>
      <c r="R352" s="27"/>
      <c r="S352" s="53"/>
      <c r="T352" s="27"/>
      <c r="U352" s="53"/>
    </row>
    <row r="353" spans="6:21" ht="12.75">
      <c r="F353" s="49"/>
      <c r="H353" s="27"/>
      <c r="I353" s="53"/>
      <c r="J353" s="27"/>
      <c r="K353" s="53"/>
      <c r="L353" s="27"/>
      <c r="M353" s="53"/>
      <c r="N353" s="27"/>
      <c r="O353" s="53"/>
      <c r="P353" s="27"/>
      <c r="Q353" s="53"/>
      <c r="R353" s="27"/>
      <c r="S353" s="53"/>
      <c r="T353" s="27"/>
      <c r="U353" s="53"/>
    </row>
    <row r="354" spans="6:21" ht="12.75">
      <c r="F354" s="49"/>
      <c r="H354" s="27"/>
      <c r="I354" s="53"/>
      <c r="J354" s="27"/>
      <c r="K354" s="53"/>
      <c r="L354" s="27"/>
      <c r="M354" s="53"/>
      <c r="N354" s="27"/>
      <c r="O354" s="53"/>
      <c r="P354" s="27"/>
      <c r="Q354" s="53"/>
      <c r="R354" s="27"/>
      <c r="S354" s="53"/>
      <c r="T354" s="27"/>
      <c r="U354" s="53"/>
    </row>
    <row r="355" spans="6:21" ht="12.75">
      <c r="F355" s="49"/>
      <c r="H355" s="27"/>
      <c r="I355" s="53"/>
      <c r="J355" s="27"/>
      <c r="K355" s="53"/>
      <c r="L355" s="27"/>
      <c r="M355" s="53"/>
      <c r="N355" s="27"/>
      <c r="O355" s="53"/>
      <c r="P355" s="27"/>
      <c r="Q355" s="53"/>
      <c r="R355" s="27"/>
      <c r="S355" s="53"/>
      <c r="T355" s="27"/>
      <c r="U355" s="53"/>
    </row>
    <row r="356" spans="6:21" ht="12.75">
      <c r="F356" s="49"/>
      <c r="H356" s="27"/>
      <c r="I356" s="53"/>
      <c r="J356" s="27"/>
      <c r="K356" s="53"/>
      <c r="L356" s="27"/>
      <c r="M356" s="53"/>
      <c r="N356" s="27"/>
      <c r="O356" s="53"/>
      <c r="P356" s="27"/>
      <c r="Q356" s="53"/>
      <c r="R356" s="27"/>
      <c r="S356" s="53"/>
      <c r="T356" s="27"/>
      <c r="U356" s="53"/>
    </row>
    <row r="357" spans="6:21" ht="12.75">
      <c r="F357" s="49"/>
      <c r="H357" s="27"/>
      <c r="I357" s="53"/>
      <c r="J357" s="27"/>
      <c r="K357" s="53"/>
      <c r="L357" s="27"/>
      <c r="M357" s="53"/>
      <c r="N357" s="27"/>
      <c r="O357" s="53"/>
      <c r="P357" s="27"/>
      <c r="Q357" s="53"/>
      <c r="R357" s="27"/>
      <c r="S357" s="53"/>
      <c r="T357" s="27"/>
      <c r="U357" s="53"/>
    </row>
    <row r="358" spans="6:21" ht="12.75">
      <c r="F358" s="49"/>
      <c r="H358" s="27"/>
      <c r="I358" s="53"/>
      <c r="J358" s="27"/>
      <c r="K358" s="53"/>
      <c r="L358" s="27"/>
      <c r="M358" s="53"/>
      <c r="N358" s="27"/>
      <c r="O358" s="53"/>
      <c r="P358" s="27"/>
      <c r="Q358" s="53"/>
      <c r="R358" s="27"/>
      <c r="S358" s="53"/>
      <c r="T358" s="27"/>
      <c r="U358" s="53"/>
    </row>
    <row r="359" spans="6:21" ht="12.75">
      <c r="F359" s="49"/>
      <c r="H359" s="27"/>
      <c r="I359" s="53"/>
      <c r="J359" s="27"/>
      <c r="K359" s="53"/>
      <c r="L359" s="27"/>
      <c r="M359" s="53"/>
      <c r="N359" s="27"/>
      <c r="O359" s="53"/>
      <c r="P359" s="27"/>
      <c r="Q359" s="53"/>
      <c r="R359" s="27"/>
      <c r="S359" s="53"/>
      <c r="T359" s="27"/>
      <c r="U359" s="53"/>
    </row>
    <row r="360" spans="6:21" ht="12.75">
      <c r="F360" s="49"/>
      <c r="H360" s="27"/>
      <c r="I360" s="53"/>
      <c r="J360" s="27"/>
      <c r="K360" s="53"/>
      <c r="L360" s="27"/>
      <c r="M360" s="53"/>
      <c r="N360" s="27"/>
      <c r="O360" s="53"/>
      <c r="P360" s="27"/>
      <c r="Q360" s="53"/>
      <c r="R360" s="27"/>
      <c r="S360" s="53"/>
      <c r="T360" s="27"/>
      <c r="U360" s="53"/>
    </row>
    <row r="361" spans="6:21" ht="12.75">
      <c r="F361" s="49"/>
      <c r="H361" s="27"/>
      <c r="I361" s="53"/>
      <c r="J361" s="27"/>
      <c r="K361" s="53"/>
      <c r="L361" s="27"/>
      <c r="M361" s="53"/>
      <c r="N361" s="27"/>
      <c r="O361" s="53"/>
      <c r="P361" s="27"/>
      <c r="Q361" s="53"/>
      <c r="R361" s="27"/>
      <c r="S361" s="53"/>
      <c r="T361" s="27"/>
      <c r="U361" s="53"/>
    </row>
    <row r="362" spans="6:21" ht="12.75">
      <c r="F362" s="49"/>
      <c r="H362" s="27"/>
      <c r="I362" s="53"/>
      <c r="J362" s="27"/>
      <c r="K362" s="53"/>
      <c r="L362" s="27"/>
      <c r="M362" s="53"/>
      <c r="N362" s="27"/>
      <c r="O362" s="53"/>
      <c r="P362" s="27"/>
      <c r="Q362" s="53"/>
      <c r="R362" s="27"/>
      <c r="S362" s="53"/>
      <c r="T362" s="27"/>
      <c r="U362" s="53"/>
    </row>
    <row r="363" spans="6:21" ht="12.75">
      <c r="F363" s="49"/>
      <c r="H363" s="27"/>
      <c r="I363" s="53"/>
      <c r="J363" s="27"/>
      <c r="K363" s="53"/>
      <c r="L363" s="27"/>
      <c r="M363" s="53"/>
      <c r="N363" s="27"/>
      <c r="O363" s="53"/>
      <c r="P363" s="27"/>
      <c r="Q363" s="53"/>
      <c r="R363" s="27"/>
      <c r="S363" s="53"/>
      <c r="T363" s="27"/>
      <c r="U363" s="53"/>
    </row>
    <row r="364" spans="6:21" ht="12.75">
      <c r="F364" s="49"/>
      <c r="H364" s="27"/>
      <c r="I364" s="53"/>
      <c r="J364" s="27"/>
      <c r="K364" s="53"/>
      <c r="L364" s="27"/>
      <c r="M364" s="53"/>
      <c r="N364" s="27"/>
      <c r="O364" s="53"/>
      <c r="P364" s="27"/>
      <c r="Q364" s="53"/>
      <c r="R364" s="27"/>
      <c r="S364" s="53"/>
      <c r="T364" s="27"/>
      <c r="U364" s="53"/>
    </row>
    <row r="365" spans="6:21" ht="12.75">
      <c r="F365" s="49"/>
      <c r="H365" s="27"/>
      <c r="I365" s="53"/>
      <c r="J365" s="27"/>
      <c r="K365" s="53"/>
      <c r="L365" s="27"/>
      <c r="M365" s="53"/>
      <c r="N365" s="27"/>
      <c r="O365" s="53"/>
      <c r="P365" s="27"/>
      <c r="Q365" s="53"/>
      <c r="R365" s="27"/>
      <c r="S365" s="53"/>
      <c r="T365" s="27"/>
      <c r="U365" s="53"/>
    </row>
    <row r="366" spans="6:21" ht="12.75">
      <c r="F366" s="49"/>
      <c r="H366" s="27"/>
      <c r="I366" s="53"/>
      <c r="J366" s="27"/>
      <c r="K366" s="53"/>
      <c r="L366" s="27"/>
      <c r="M366" s="53"/>
      <c r="N366" s="27"/>
      <c r="O366" s="53"/>
      <c r="P366" s="27"/>
      <c r="Q366" s="53"/>
      <c r="R366" s="27"/>
      <c r="S366" s="53"/>
      <c r="T366" s="27"/>
      <c r="U366" s="53"/>
    </row>
    <row r="367" spans="6:21" ht="12.75">
      <c r="F367" s="49"/>
      <c r="H367" s="27"/>
      <c r="I367" s="53"/>
      <c r="J367" s="27"/>
      <c r="K367" s="53"/>
      <c r="L367" s="27"/>
      <c r="M367" s="53"/>
      <c r="N367" s="27"/>
      <c r="O367" s="53"/>
      <c r="P367" s="27"/>
      <c r="Q367" s="53"/>
      <c r="R367" s="27"/>
      <c r="S367" s="53"/>
      <c r="T367" s="27"/>
      <c r="U367" s="53"/>
    </row>
    <row r="368" spans="6:21" ht="12.75">
      <c r="F368" s="49"/>
      <c r="H368" s="27"/>
      <c r="I368" s="53"/>
      <c r="J368" s="27"/>
      <c r="K368" s="53"/>
      <c r="L368" s="27"/>
      <c r="M368" s="53"/>
      <c r="N368" s="27"/>
      <c r="O368" s="53"/>
      <c r="P368" s="27"/>
      <c r="Q368" s="53"/>
      <c r="R368" s="27"/>
      <c r="S368" s="53"/>
      <c r="T368" s="27"/>
      <c r="U368" s="53"/>
    </row>
    <row r="369" spans="6:21" ht="12.75">
      <c r="F369" s="49"/>
      <c r="H369" s="27"/>
      <c r="I369" s="53"/>
      <c r="J369" s="27"/>
      <c r="K369" s="53"/>
      <c r="L369" s="27"/>
      <c r="M369" s="53"/>
      <c r="N369" s="27"/>
      <c r="O369" s="53"/>
      <c r="P369" s="27"/>
      <c r="Q369" s="53"/>
      <c r="R369" s="27"/>
      <c r="S369" s="53"/>
      <c r="T369" s="27"/>
      <c r="U369" s="53"/>
    </row>
    <row r="370" spans="6:21" ht="12.75">
      <c r="F370" s="49"/>
      <c r="H370" s="27"/>
      <c r="I370" s="53"/>
      <c r="J370" s="27"/>
      <c r="K370" s="53"/>
      <c r="L370" s="27"/>
      <c r="M370" s="53"/>
      <c r="N370" s="27"/>
      <c r="O370" s="53"/>
      <c r="P370" s="27"/>
      <c r="Q370" s="53"/>
      <c r="R370" s="27"/>
      <c r="S370" s="53"/>
      <c r="T370" s="27"/>
      <c r="U370" s="53"/>
    </row>
    <row r="371" spans="6:21" ht="12.75">
      <c r="F371" s="49"/>
      <c r="H371" s="27"/>
      <c r="I371" s="53"/>
      <c r="J371" s="27"/>
      <c r="K371" s="53"/>
      <c r="L371" s="27"/>
      <c r="M371" s="53"/>
      <c r="N371" s="27"/>
      <c r="O371" s="53"/>
      <c r="P371" s="27"/>
      <c r="Q371" s="53"/>
      <c r="R371" s="27"/>
      <c r="S371" s="53"/>
      <c r="T371" s="27"/>
      <c r="U371" s="53"/>
    </row>
    <row r="372" spans="6:21" ht="12.75">
      <c r="F372" s="49"/>
      <c r="H372" s="27"/>
      <c r="I372" s="53"/>
      <c r="J372" s="27"/>
      <c r="K372" s="53"/>
      <c r="L372" s="27"/>
      <c r="M372" s="53"/>
      <c r="N372" s="27"/>
      <c r="O372" s="53"/>
      <c r="P372" s="27"/>
      <c r="Q372" s="53"/>
      <c r="R372" s="27"/>
      <c r="S372" s="53"/>
      <c r="T372" s="27"/>
      <c r="U372" s="53"/>
    </row>
    <row r="373" spans="6:21" ht="12.75">
      <c r="F373" s="49"/>
      <c r="H373" s="27"/>
      <c r="I373" s="53"/>
      <c r="J373" s="27"/>
      <c r="K373" s="53"/>
      <c r="L373" s="27"/>
      <c r="M373" s="53"/>
      <c r="N373" s="27"/>
      <c r="O373" s="53"/>
      <c r="P373" s="27"/>
      <c r="Q373" s="53"/>
      <c r="R373" s="27"/>
      <c r="S373" s="53"/>
      <c r="T373" s="27"/>
      <c r="U373" s="53"/>
    </row>
    <row r="374" spans="6:21" ht="12.75">
      <c r="F374" s="49"/>
      <c r="H374" s="27"/>
      <c r="I374" s="53"/>
      <c r="J374" s="27"/>
      <c r="K374" s="53"/>
      <c r="L374" s="27"/>
      <c r="M374" s="53"/>
      <c r="N374" s="27"/>
      <c r="O374" s="53"/>
      <c r="P374" s="27"/>
      <c r="Q374" s="53"/>
      <c r="R374" s="27"/>
      <c r="S374" s="53"/>
      <c r="T374" s="27"/>
      <c r="U374" s="53"/>
    </row>
    <row r="375" spans="6:21" ht="12.75">
      <c r="F375" s="49"/>
      <c r="H375" s="27"/>
      <c r="I375" s="53"/>
      <c r="J375" s="27"/>
      <c r="K375" s="53"/>
      <c r="L375" s="27"/>
      <c r="M375" s="53"/>
      <c r="N375" s="27"/>
      <c r="O375" s="53"/>
      <c r="P375" s="27"/>
      <c r="Q375" s="53"/>
      <c r="R375" s="27"/>
      <c r="S375" s="53"/>
      <c r="T375" s="27"/>
      <c r="U375" s="53"/>
    </row>
    <row r="376" spans="6:21" ht="12.75">
      <c r="F376" s="49"/>
      <c r="H376" s="27"/>
      <c r="I376" s="53"/>
      <c r="J376" s="27"/>
      <c r="K376" s="53"/>
      <c r="L376" s="27"/>
      <c r="M376" s="53"/>
      <c r="N376" s="27"/>
      <c r="O376" s="53"/>
      <c r="P376" s="27"/>
      <c r="Q376" s="53"/>
      <c r="R376" s="27"/>
      <c r="S376" s="53"/>
      <c r="T376" s="27"/>
      <c r="U376" s="53"/>
    </row>
    <row r="377" spans="6:21" ht="12.75">
      <c r="F377" s="49"/>
      <c r="H377" s="27"/>
      <c r="I377" s="53"/>
      <c r="J377" s="27"/>
      <c r="K377" s="53"/>
      <c r="L377" s="27"/>
      <c r="M377" s="53"/>
      <c r="N377" s="27"/>
      <c r="O377" s="53"/>
      <c r="P377" s="27"/>
      <c r="Q377" s="53"/>
      <c r="R377" s="27"/>
      <c r="S377" s="53"/>
      <c r="T377" s="27"/>
      <c r="U377" s="53"/>
    </row>
    <row r="378" spans="6:21" ht="12.75">
      <c r="F378" s="49"/>
      <c r="H378" s="27"/>
      <c r="I378" s="53"/>
      <c r="J378" s="27"/>
      <c r="K378" s="53"/>
      <c r="L378" s="27"/>
      <c r="M378" s="53"/>
      <c r="N378" s="27"/>
      <c r="O378" s="53"/>
      <c r="P378" s="27"/>
      <c r="Q378" s="53"/>
      <c r="R378" s="27"/>
      <c r="S378" s="53"/>
      <c r="T378" s="27"/>
      <c r="U378" s="53"/>
    </row>
    <row r="379" spans="6:21" ht="12.75">
      <c r="F379" s="49"/>
      <c r="H379" s="27"/>
      <c r="I379" s="53"/>
      <c r="J379" s="27"/>
      <c r="K379" s="53"/>
      <c r="L379" s="27"/>
      <c r="M379" s="53"/>
      <c r="N379" s="27"/>
      <c r="O379" s="53"/>
      <c r="P379" s="27"/>
      <c r="Q379" s="53"/>
      <c r="R379" s="27"/>
      <c r="S379" s="53"/>
      <c r="T379" s="27"/>
      <c r="U379" s="53"/>
    </row>
    <row r="380" spans="6:21" ht="12.75">
      <c r="F380" s="49"/>
      <c r="H380" s="27"/>
      <c r="I380" s="53"/>
      <c r="J380" s="27"/>
      <c r="K380" s="53"/>
      <c r="L380" s="27"/>
      <c r="M380" s="53"/>
      <c r="N380" s="27"/>
      <c r="O380" s="53"/>
      <c r="P380" s="27"/>
      <c r="Q380" s="53"/>
      <c r="R380" s="27"/>
      <c r="S380" s="53"/>
      <c r="T380" s="27"/>
      <c r="U380" s="53"/>
    </row>
    <row r="381" spans="6:21" ht="12.75">
      <c r="F381" s="49"/>
      <c r="H381" s="27"/>
      <c r="I381" s="53"/>
      <c r="J381" s="27"/>
      <c r="K381" s="53"/>
      <c r="L381" s="27"/>
      <c r="M381" s="53"/>
      <c r="N381" s="27"/>
      <c r="O381" s="53"/>
      <c r="P381" s="27"/>
      <c r="Q381" s="53"/>
      <c r="R381" s="27"/>
      <c r="S381" s="53"/>
      <c r="T381" s="27"/>
      <c r="U381" s="53"/>
    </row>
    <row r="382" spans="6:21" ht="12.75">
      <c r="F382" s="49"/>
      <c r="H382" s="27"/>
      <c r="I382" s="53"/>
      <c r="J382" s="27"/>
      <c r="K382" s="53"/>
      <c r="L382" s="27"/>
      <c r="M382" s="53"/>
      <c r="N382" s="27"/>
      <c r="O382" s="53"/>
      <c r="P382" s="27"/>
      <c r="Q382" s="53"/>
      <c r="R382" s="27"/>
      <c r="S382" s="53"/>
      <c r="T382" s="27"/>
      <c r="U382" s="53"/>
    </row>
    <row r="383" spans="6:21" ht="12.75">
      <c r="F383" s="49"/>
      <c r="H383" s="27"/>
      <c r="I383" s="53"/>
      <c r="J383" s="27"/>
      <c r="K383" s="53"/>
      <c r="L383" s="27"/>
      <c r="M383" s="53"/>
      <c r="N383" s="27"/>
      <c r="O383" s="53"/>
      <c r="P383" s="27"/>
      <c r="Q383" s="53"/>
      <c r="R383" s="27"/>
      <c r="S383" s="53"/>
      <c r="T383" s="27"/>
      <c r="U383" s="53"/>
    </row>
    <row r="384" spans="6:21" ht="12.75">
      <c r="F384" s="49"/>
      <c r="H384" s="27"/>
      <c r="I384" s="53"/>
      <c r="J384" s="27"/>
      <c r="K384" s="53"/>
      <c r="L384" s="27"/>
      <c r="M384" s="53"/>
      <c r="N384" s="27"/>
      <c r="O384" s="53"/>
      <c r="P384" s="27"/>
      <c r="Q384" s="53"/>
      <c r="R384" s="27"/>
      <c r="S384" s="53"/>
      <c r="T384" s="27"/>
      <c r="U384" s="53"/>
    </row>
    <row r="385" spans="6:21" ht="12.75">
      <c r="F385" s="49"/>
      <c r="H385" s="27"/>
      <c r="I385" s="53"/>
      <c r="J385" s="27"/>
      <c r="K385" s="53"/>
      <c r="L385" s="27"/>
      <c r="M385" s="53"/>
      <c r="N385" s="27"/>
      <c r="O385" s="53"/>
      <c r="P385" s="27"/>
      <c r="Q385" s="53"/>
      <c r="R385" s="27"/>
      <c r="S385" s="53"/>
      <c r="T385" s="27"/>
      <c r="U385" s="53"/>
    </row>
    <row r="386" spans="6:21" ht="12.75">
      <c r="F386" s="49"/>
      <c r="H386" s="27"/>
      <c r="I386" s="53"/>
      <c r="J386" s="27"/>
      <c r="K386" s="53"/>
      <c r="L386" s="27"/>
      <c r="M386" s="53"/>
      <c r="N386" s="27"/>
      <c r="O386" s="53"/>
      <c r="P386" s="27"/>
      <c r="Q386" s="53"/>
      <c r="R386" s="27"/>
      <c r="S386" s="53"/>
      <c r="T386" s="27"/>
      <c r="U386" s="53"/>
    </row>
    <row r="387" spans="6:21" ht="12.75">
      <c r="F387" s="49"/>
      <c r="H387" s="27"/>
      <c r="I387" s="53"/>
      <c r="J387" s="27"/>
      <c r="K387" s="53"/>
      <c r="L387" s="27"/>
      <c r="M387" s="53"/>
      <c r="N387" s="27"/>
      <c r="O387" s="53"/>
      <c r="P387" s="27"/>
      <c r="Q387" s="53"/>
      <c r="R387" s="27"/>
      <c r="S387" s="53"/>
      <c r="T387" s="27"/>
      <c r="U387" s="53"/>
    </row>
    <row r="388" spans="6:21" ht="12.75">
      <c r="F388" s="49"/>
      <c r="H388" s="27"/>
      <c r="I388" s="53"/>
      <c r="J388" s="27"/>
      <c r="K388" s="53"/>
      <c r="L388" s="27"/>
      <c r="M388" s="53"/>
      <c r="N388" s="27"/>
      <c r="O388" s="53"/>
      <c r="P388" s="27"/>
      <c r="Q388" s="53"/>
      <c r="R388" s="27"/>
      <c r="S388" s="53"/>
      <c r="T388" s="27"/>
      <c r="U388" s="53"/>
    </row>
    <row r="389" spans="6:21" ht="12.75">
      <c r="F389" s="49"/>
      <c r="H389" s="27"/>
      <c r="I389" s="53"/>
      <c r="J389" s="27"/>
      <c r="K389" s="53"/>
      <c r="L389" s="27"/>
      <c r="M389" s="53"/>
      <c r="N389" s="27"/>
      <c r="O389" s="53"/>
      <c r="P389" s="27"/>
      <c r="Q389" s="53"/>
      <c r="R389" s="27"/>
      <c r="S389" s="53"/>
      <c r="T389" s="27"/>
      <c r="U389" s="53"/>
    </row>
    <row r="390" spans="6:21" ht="12.75">
      <c r="F390" s="49"/>
      <c r="H390" s="27"/>
      <c r="I390" s="53"/>
      <c r="J390" s="27"/>
      <c r="K390" s="53"/>
      <c r="L390" s="27"/>
      <c r="M390" s="53"/>
      <c r="N390" s="27"/>
      <c r="O390" s="53"/>
      <c r="P390" s="27"/>
      <c r="Q390" s="53"/>
      <c r="R390" s="27"/>
      <c r="S390" s="53"/>
      <c r="T390" s="27"/>
      <c r="U390" s="53"/>
    </row>
    <row r="391" spans="6:21" ht="12.75">
      <c r="F391" s="49"/>
      <c r="H391" s="27"/>
      <c r="I391" s="53"/>
      <c r="J391" s="27"/>
      <c r="K391" s="53"/>
      <c r="L391" s="27"/>
      <c r="M391" s="53"/>
      <c r="N391" s="27"/>
      <c r="O391" s="53"/>
      <c r="P391" s="27"/>
      <c r="Q391" s="53"/>
      <c r="R391" s="27"/>
      <c r="S391" s="53"/>
      <c r="T391" s="27"/>
      <c r="U391" s="53"/>
    </row>
    <row r="392" spans="6:21" ht="12.75">
      <c r="F392" s="49"/>
      <c r="H392" s="27"/>
      <c r="I392" s="53"/>
      <c r="J392" s="27"/>
      <c r="K392" s="53"/>
      <c r="L392" s="27"/>
      <c r="M392" s="53"/>
      <c r="N392" s="27"/>
      <c r="O392" s="53"/>
      <c r="P392" s="27"/>
      <c r="Q392" s="53"/>
      <c r="R392" s="27"/>
      <c r="S392" s="53"/>
      <c r="T392" s="27"/>
      <c r="U392" s="53"/>
    </row>
    <row r="393" spans="6:21" ht="12.75">
      <c r="F393" s="49"/>
      <c r="H393" s="27"/>
      <c r="I393" s="53"/>
      <c r="J393" s="27"/>
      <c r="K393" s="53"/>
      <c r="L393" s="27"/>
      <c r="M393" s="53"/>
      <c r="N393" s="27"/>
      <c r="O393" s="53"/>
      <c r="P393" s="27"/>
      <c r="Q393" s="53"/>
      <c r="R393" s="27"/>
      <c r="S393" s="53"/>
      <c r="T393" s="27"/>
      <c r="U393" s="53"/>
    </row>
    <row r="394" spans="6:21" ht="12.75">
      <c r="F394" s="49"/>
      <c r="H394" s="27"/>
      <c r="I394" s="53"/>
      <c r="J394" s="27"/>
      <c r="K394" s="53"/>
      <c r="L394" s="27"/>
      <c r="M394" s="53"/>
      <c r="N394" s="27"/>
      <c r="O394" s="53"/>
      <c r="P394" s="27"/>
      <c r="Q394" s="53"/>
      <c r="R394" s="27"/>
      <c r="S394" s="53"/>
      <c r="T394" s="27"/>
      <c r="U394" s="53"/>
    </row>
    <row r="395" spans="6:21" ht="12.75">
      <c r="F395" s="49"/>
      <c r="H395" s="27"/>
      <c r="I395" s="53"/>
      <c r="J395" s="27"/>
      <c r="K395" s="53"/>
      <c r="L395" s="27"/>
      <c r="M395" s="53"/>
      <c r="N395" s="27"/>
      <c r="O395" s="53"/>
      <c r="P395" s="27"/>
      <c r="Q395" s="53"/>
      <c r="R395" s="27"/>
      <c r="S395" s="53"/>
      <c r="T395" s="27"/>
      <c r="U395" s="53"/>
    </row>
    <row r="396" spans="6:21" ht="12.75">
      <c r="F396" s="49"/>
      <c r="H396" s="27"/>
      <c r="I396" s="53"/>
      <c r="J396" s="27"/>
      <c r="K396" s="53"/>
      <c r="L396" s="27"/>
      <c r="M396" s="53"/>
      <c r="N396" s="27"/>
      <c r="O396" s="53"/>
      <c r="P396" s="27"/>
      <c r="Q396" s="53"/>
      <c r="R396" s="27"/>
      <c r="S396" s="53"/>
      <c r="T396" s="27"/>
      <c r="U396" s="53"/>
    </row>
    <row r="397" spans="6:21" ht="12.75">
      <c r="F397" s="49"/>
      <c r="H397" s="27"/>
      <c r="I397" s="53"/>
      <c r="J397" s="27"/>
      <c r="K397" s="53"/>
      <c r="L397" s="27"/>
      <c r="M397" s="53"/>
      <c r="N397" s="27"/>
      <c r="O397" s="53"/>
      <c r="P397" s="27"/>
      <c r="Q397" s="53"/>
      <c r="R397" s="27"/>
      <c r="S397" s="53"/>
      <c r="T397" s="27"/>
      <c r="U397" s="53"/>
    </row>
    <row r="398" spans="6:21" ht="12.75">
      <c r="F398" s="49"/>
      <c r="H398" s="27"/>
      <c r="I398" s="53"/>
      <c r="J398" s="27"/>
      <c r="K398" s="53"/>
      <c r="L398" s="27"/>
      <c r="M398" s="53"/>
      <c r="N398" s="27"/>
      <c r="O398" s="53"/>
      <c r="P398" s="27"/>
      <c r="Q398" s="53"/>
      <c r="R398" s="27"/>
      <c r="S398" s="53"/>
      <c r="T398" s="27"/>
      <c r="U398" s="53"/>
    </row>
    <row r="399" spans="6:21" ht="12.75">
      <c r="F399" s="49"/>
      <c r="H399" s="27"/>
      <c r="I399" s="53"/>
      <c r="J399" s="27"/>
      <c r="K399" s="53"/>
      <c r="L399" s="27"/>
      <c r="M399" s="53"/>
      <c r="N399" s="27"/>
      <c r="O399" s="53"/>
      <c r="P399" s="27"/>
      <c r="Q399" s="53"/>
      <c r="R399" s="27"/>
      <c r="S399" s="53"/>
      <c r="T399" s="27"/>
      <c r="U399" s="53"/>
    </row>
    <row r="400" spans="6:21" ht="12.75">
      <c r="F400" s="49"/>
      <c r="H400" s="27"/>
      <c r="I400" s="53"/>
      <c r="J400" s="27"/>
      <c r="K400" s="53"/>
      <c r="L400" s="27"/>
      <c r="M400" s="53"/>
      <c r="N400" s="27"/>
      <c r="O400" s="53"/>
      <c r="P400" s="27"/>
      <c r="Q400" s="53"/>
      <c r="R400" s="27"/>
      <c r="S400" s="53"/>
      <c r="T400" s="27"/>
      <c r="U400" s="53"/>
    </row>
    <row r="401" spans="6:21" ht="12.75">
      <c r="F401" s="49"/>
      <c r="H401" s="27"/>
      <c r="I401" s="53"/>
      <c r="J401" s="27"/>
      <c r="K401" s="53"/>
      <c r="L401" s="27"/>
      <c r="M401" s="53"/>
      <c r="N401" s="27"/>
      <c r="O401" s="53"/>
      <c r="P401" s="27"/>
      <c r="Q401" s="53"/>
      <c r="R401" s="27"/>
      <c r="S401" s="53"/>
      <c r="T401" s="27"/>
      <c r="U401" s="53"/>
    </row>
    <row r="402" spans="6:21" ht="12.75">
      <c r="F402" s="49"/>
      <c r="H402" s="27"/>
      <c r="I402" s="53"/>
      <c r="J402" s="27"/>
      <c r="K402" s="53"/>
      <c r="L402" s="27"/>
      <c r="M402" s="53"/>
      <c r="N402" s="27"/>
      <c r="O402" s="53"/>
      <c r="P402" s="27"/>
      <c r="Q402" s="53"/>
      <c r="R402" s="27"/>
      <c r="S402" s="53"/>
      <c r="T402" s="27"/>
      <c r="U402" s="53"/>
    </row>
    <row r="403" spans="6:21" ht="12.75">
      <c r="F403" s="49"/>
      <c r="H403" s="27"/>
      <c r="I403" s="53"/>
      <c r="J403" s="27"/>
      <c r="K403" s="53"/>
      <c r="L403" s="27"/>
      <c r="M403" s="53"/>
      <c r="N403" s="27"/>
      <c r="O403" s="53"/>
      <c r="P403" s="27"/>
      <c r="Q403" s="53"/>
      <c r="R403" s="27"/>
      <c r="S403" s="53"/>
      <c r="T403" s="27"/>
      <c r="U403" s="53"/>
    </row>
    <row r="404" spans="6:21" ht="12.75">
      <c r="F404" s="49"/>
      <c r="H404" s="27"/>
      <c r="I404" s="53"/>
      <c r="J404" s="27"/>
      <c r="K404" s="53"/>
      <c r="L404" s="27"/>
      <c r="M404" s="53"/>
      <c r="N404" s="27"/>
      <c r="O404" s="53"/>
      <c r="P404" s="27"/>
      <c r="Q404" s="53"/>
      <c r="R404" s="27"/>
      <c r="S404" s="53"/>
      <c r="T404" s="27"/>
      <c r="U404" s="53"/>
    </row>
    <row r="405" spans="6:21" ht="12.75">
      <c r="F405" s="49"/>
      <c r="H405" s="27"/>
      <c r="I405" s="53"/>
      <c r="J405" s="27"/>
      <c r="K405" s="53"/>
      <c r="L405" s="27"/>
      <c r="M405" s="53"/>
      <c r="N405" s="27"/>
      <c r="O405" s="53"/>
      <c r="P405" s="27"/>
      <c r="Q405" s="53"/>
      <c r="R405" s="27"/>
      <c r="S405" s="53"/>
      <c r="T405" s="27"/>
      <c r="U405" s="53"/>
    </row>
    <row r="406" spans="6:21" ht="12.75">
      <c r="F406" s="49"/>
      <c r="H406" s="27"/>
      <c r="I406" s="53"/>
      <c r="J406" s="27"/>
      <c r="K406" s="53"/>
      <c r="L406" s="27"/>
      <c r="M406" s="53"/>
      <c r="N406" s="27"/>
      <c r="O406" s="53"/>
      <c r="P406" s="27"/>
      <c r="Q406" s="53"/>
      <c r="R406" s="27"/>
      <c r="S406" s="53"/>
      <c r="T406" s="27"/>
      <c r="U406" s="53"/>
    </row>
    <row r="407" spans="6:21" ht="12.75">
      <c r="F407" s="49"/>
      <c r="H407" s="27"/>
      <c r="I407" s="53"/>
      <c r="J407" s="27"/>
      <c r="K407" s="53"/>
      <c r="L407" s="27"/>
      <c r="M407" s="53"/>
      <c r="N407" s="27"/>
      <c r="O407" s="53"/>
      <c r="P407" s="27"/>
      <c r="Q407" s="53"/>
      <c r="R407" s="27"/>
      <c r="S407" s="53"/>
      <c r="T407" s="27"/>
      <c r="U407" s="53"/>
    </row>
    <row r="408" spans="6:21" ht="12.75">
      <c r="F408" s="49"/>
      <c r="H408" s="27"/>
      <c r="I408" s="53"/>
      <c r="J408" s="27"/>
      <c r="K408" s="53"/>
      <c r="L408" s="27"/>
      <c r="M408" s="53"/>
      <c r="N408" s="27"/>
      <c r="O408" s="53"/>
      <c r="P408" s="27"/>
      <c r="Q408" s="53"/>
      <c r="R408" s="27"/>
      <c r="S408" s="53"/>
      <c r="T408" s="27"/>
      <c r="U408" s="53"/>
    </row>
    <row r="409" spans="6:21" ht="12.75">
      <c r="F409" s="49"/>
      <c r="H409" s="27"/>
      <c r="I409" s="53"/>
      <c r="J409" s="27"/>
      <c r="K409" s="53"/>
      <c r="L409" s="27"/>
      <c r="M409" s="53"/>
      <c r="N409" s="27"/>
      <c r="O409" s="53"/>
      <c r="P409" s="27"/>
      <c r="Q409" s="53"/>
      <c r="R409" s="27"/>
      <c r="S409" s="53"/>
      <c r="T409" s="27"/>
      <c r="U409" s="53"/>
    </row>
    <row r="410" spans="6:21" ht="12.75">
      <c r="F410" s="49"/>
      <c r="H410" s="27"/>
      <c r="I410" s="53"/>
      <c r="J410" s="27"/>
      <c r="K410" s="53"/>
      <c r="L410" s="27"/>
      <c r="M410" s="53"/>
      <c r="N410" s="27"/>
      <c r="O410" s="53"/>
      <c r="P410" s="27"/>
      <c r="Q410" s="53"/>
      <c r="R410" s="27"/>
      <c r="S410" s="53"/>
      <c r="T410" s="27"/>
      <c r="U410" s="53"/>
    </row>
    <row r="411" spans="6:21" ht="12.75">
      <c r="F411" s="49"/>
      <c r="H411" s="27"/>
      <c r="I411" s="53"/>
      <c r="J411" s="27"/>
      <c r="K411" s="53"/>
      <c r="L411" s="27"/>
      <c r="M411" s="53"/>
      <c r="N411" s="27"/>
      <c r="O411" s="53"/>
      <c r="P411" s="27"/>
      <c r="Q411" s="53"/>
      <c r="R411" s="27"/>
      <c r="S411" s="53"/>
      <c r="T411" s="27"/>
      <c r="U411" s="53"/>
    </row>
    <row r="412" spans="6:21" ht="12.75">
      <c r="F412" s="49"/>
      <c r="H412" s="27"/>
      <c r="I412" s="53"/>
      <c r="J412" s="27"/>
      <c r="K412" s="53"/>
      <c r="L412" s="27"/>
      <c r="M412" s="53"/>
      <c r="N412" s="27"/>
      <c r="O412" s="53"/>
      <c r="P412" s="27"/>
      <c r="Q412" s="53"/>
      <c r="R412" s="27"/>
      <c r="S412" s="53"/>
      <c r="T412" s="27"/>
      <c r="U412" s="53"/>
    </row>
    <row r="413" spans="6:21" ht="12.75">
      <c r="F413" s="49"/>
      <c r="H413" s="27"/>
      <c r="I413" s="53"/>
      <c r="J413" s="27"/>
      <c r="K413" s="53"/>
      <c r="L413" s="27"/>
      <c r="M413" s="53"/>
      <c r="N413" s="27"/>
      <c r="O413" s="53"/>
      <c r="P413" s="27"/>
      <c r="Q413" s="53"/>
      <c r="R413" s="27"/>
      <c r="S413" s="53"/>
      <c r="T413" s="27"/>
      <c r="U413" s="53"/>
    </row>
    <row r="414" spans="6:21" ht="12.75">
      <c r="F414" s="49"/>
      <c r="H414" s="27"/>
      <c r="I414" s="53"/>
      <c r="J414" s="27"/>
      <c r="K414" s="53"/>
      <c r="L414" s="27"/>
      <c r="M414" s="53"/>
      <c r="N414" s="27"/>
      <c r="O414" s="53"/>
      <c r="P414" s="27"/>
      <c r="Q414" s="53"/>
      <c r="R414" s="27"/>
      <c r="S414" s="53"/>
      <c r="T414" s="27"/>
      <c r="U414" s="53"/>
    </row>
    <row r="415" spans="6:21" ht="12.75">
      <c r="F415" s="49"/>
      <c r="H415" s="27"/>
      <c r="I415" s="53"/>
      <c r="J415" s="27"/>
      <c r="K415" s="53"/>
      <c r="L415" s="27"/>
      <c r="M415" s="53"/>
      <c r="N415" s="27"/>
      <c r="O415" s="53"/>
      <c r="P415" s="27"/>
      <c r="Q415" s="53"/>
      <c r="R415" s="27"/>
      <c r="S415" s="53"/>
      <c r="T415" s="27"/>
      <c r="U415" s="53"/>
    </row>
    <row r="416" spans="6:21" ht="12.75">
      <c r="F416" s="49"/>
      <c r="H416" s="27"/>
      <c r="I416" s="53"/>
      <c r="J416" s="27"/>
      <c r="K416" s="53"/>
      <c r="L416" s="27"/>
      <c r="M416" s="53"/>
      <c r="N416" s="27"/>
      <c r="O416" s="53"/>
      <c r="P416" s="27"/>
      <c r="Q416" s="53"/>
      <c r="R416" s="27"/>
      <c r="S416" s="53"/>
      <c r="T416" s="27"/>
      <c r="U416" s="53"/>
    </row>
    <row r="417" spans="6:21" ht="12.75">
      <c r="F417" s="49"/>
      <c r="H417" s="27"/>
      <c r="I417" s="53"/>
      <c r="J417" s="27"/>
      <c r="K417" s="53"/>
      <c r="L417" s="27"/>
      <c r="M417" s="53"/>
      <c r="N417" s="27"/>
      <c r="O417" s="53"/>
      <c r="P417" s="27"/>
      <c r="Q417" s="53"/>
      <c r="R417" s="27"/>
      <c r="S417" s="53"/>
      <c r="T417" s="27"/>
      <c r="U417" s="53"/>
    </row>
    <row r="418" spans="6:21" ht="12.75">
      <c r="F418" s="49"/>
      <c r="H418" s="27"/>
      <c r="I418" s="53"/>
      <c r="J418" s="27"/>
      <c r="K418" s="53"/>
      <c r="L418" s="27"/>
      <c r="M418" s="53"/>
      <c r="N418" s="27"/>
      <c r="O418" s="53"/>
      <c r="P418" s="27"/>
      <c r="Q418" s="53"/>
      <c r="R418" s="27"/>
      <c r="S418" s="53"/>
      <c r="T418" s="27"/>
      <c r="U418" s="53"/>
    </row>
    <row r="419" spans="6:21" ht="12.75">
      <c r="F419" s="49"/>
      <c r="H419" s="27"/>
      <c r="I419" s="53"/>
      <c r="J419" s="27"/>
      <c r="K419" s="53"/>
      <c r="L419" s="27"/>
      <c r="M419" s="53"/>
      <c r="N419" s="27"/>
      <c r="O419" s="53"/>
      <c r="P419" s="27"/>
      <c r="Q419" s="53"/>
      <c r="R419" s="27"/>
      <c r="S419" s="53"/>
      <c r="T419" s="27"/>
      <c r="U419" s="53"/>
    </row>
    <row r="420" spans="6:21" ht="12.75">
      <c r="F420" s="49"/>
      <c r="H420" s="27"/>
      <c r="I420" s="53"/>
      <c r="J420" s="27"/>
      <c r="K420" s="53"/>
      <c r="L420" s="27"/>
      <c r="M420" s="53"/>
      <c r="N420" s="27"/>
      <c r="O420" s="53"/>
      <c r="P420" s="27"/>
      <c r="Q420" s="53"/>
      <c r="R420" s="27"/>
      <c r="S420" s="53"/>
      <c r="T420" s="27"/>
      <c r="U420" s="53"/>
    </row>
    <row r="421" spans="6:21" ht="12.75">
      <c r="F421" s="49"/>
      <c r="H421" s="27"/>
      <c r="I421" s="53"/>
      <c r="J421" s="27"/>
      <c r="K421" s="53"/>
      <c r="L421" s="27"/>
      <c r="M421" s="53"/>
      <c r="N421" s="27"/>
      <c r="O421" s="53"/>
      <c r="P421" s="27"/>
      <c r="Q421" s="53"/>
      <c r="R421" s="27"/>
      <c r="S421" s="53"/>
      <c r="T421" s="27"/>
      <c r="U421" s="53"/>
    </row>
    <row r="422" spans="6:21" ht="12.75">
      <c r="F422" s="49"/>
      <c r="H422" s="27"/>
      <c r="I422" s="53"/>
      <c r="J422" s="27"/>
      <c r="K422" s="53"/>
      <c r="L422" s="27"/>
      <c r="M422" s="53"/>
      <c r="N422" s="27"/>
      <c r="O422" s="53"/>
      <c r="P422" s="27"/>
      <c r="Q422" s="53"/>
      <c r="R422" s="27"/>
      <c r="S422" s="53"/>
      <c r="T422" s="27"/>
      <c r="U422" s="53"/>
    </row>
    <row r="423" spans="6:21" ht="12.75">
      <c r="F423" s="49"/>
      <c r="H423" s="27"/>
      <c r="I423" s="53"/>
      <c r="J423" s="27"/>
      <c r="K423" s="53"/>
      <c r="L423" s="27"/>
      <c r="M423" s="53"/>
      <c r="N423" s="27"/>
      <c r="O423" s="53"/>
      <c r="P423" s="27"/>
      <c r="Q423" s="53"/>
      <c r="R423" s="27"/>
      <c r="S423" s="53"/>
      <c r="T423" s="27"/>
      <c r="U423" s="53"/>
    </row>
    <row r="424" spans="6:21" ht="12.75">
      <c r="F424" s="49"/>
      <c r="H424" s="27"/>
      <c r="I424" s="53"/>
      <c r="J424" s="27"/>
      <c r="K424" s="53"/>
      <c r="L424" s="27"/>
      <c r="M424" s="53"/>
      <c r="N424" s="27"/>
      <c r="O424" s="53"/>
      <c r="P424" s="27"/>
      <c r="Q424" s="53"/>
      <c r="R424" s="27"/>
      <c r="S424" s="53"/>
      <c r="T424" s="27"/>
      <c r="U424" s="53"/>
    </row>
    <row r="425" spans="6:21" ht="12.75">
      <c r="F425" s="49"/>
      <c r="H425" s="27"/>
      <c r="I425" s="53"/>
      <c r="J425" s="27"/>
      <c r="K425" s="53"/>
      <c r="L425" s="27"/>
      <c r="M425" s="53"/>
      <c r="N425" s="27"/>
      <c r="O425" s="53"/>
      <c r="P425" s="27"/>
      <c r="Q425" s="53"/>
      <c r="R425" s="27"/>
      <c r="S425" s="53"/>
      <c r="T425" s="27"/>
      <c r="U425" s="53"/>
    </row>
    <row r="426" spans="6:21" ht="12.75">
      <c r="F426" s="49"/>
      <c r="H426" s="27"/>
      <c r="I426" s="53"/>
      <c r="J426" s="27"/>
      <c r="K426" s="53"/>
      <c r="L426" s="27"/>
      <c r="M426" s="53"/>
      <c r="N426" s="27"/>
      <c r="O426" s="53"/>
      <c r="P426" s="27"/>
      <c r="Q426" s="53"/>
      <c r="R426" s="27"/>
      <c r="S426" s="53"/>
      <c r="T426" s="27"/>
      <c r="U426" s="53"/>
    </row>
    <row r="427" spans="6:21" ht="12.75">
      <c r="F427" s="49"/>
      <c r="H427" s="27"/>
      <c r="I427" s="53"/>
      <c r="J427" s="27"/>
      <c r="K427" s="53"/>
      <c r="L427" s="27"/>
      <c r="M427" s="53"/>
      <c r="N427" s="27"/>
      <c r="O427" s="53"/>
      <c r="P427" s="27"/>
      <c r="Q427" s="53"/>
      <c r="R427" s="27"/>
      <c r="S427" s="53"/>
      <c r="T427" s="27"/>
      <c r="U427" s="53"/>
    </row>
    <row r="428" spans="6:21" ht="12.75">
      <c r="F428" s="49"/>
      <c r="H428" s="27"/>
      <c r="I428" s="53"/>
      <c r="J428" s="27"/>
      <c r="K428" s="53"/>
      <c r="L428" s="27"/>
      <c r="M428" s="53"/>
      <c r="N428" s="27"/>
      <c r="O428" s="53"/>
      <c r="P428" s="27"/>
      <c r="Q428" s="53"/>
      <c r="R428" s="27"/>
      <c r="S428" s="53"/>
      <c r="T428" s="27"/>
      <c r="U428" s="53"/>
    </row>
    <row r="429" spans="6:21" ht="12.75">
      <c r="F429" s="49"/>
      <c r="H429" s="27"/>
      <c r="I429" s="53"/>
      <c r="J429" s="27"/>
      <c r="K429" s="53"/>
      <c r="L429" s="27"/>
      <c r="M429" s="53"/>
      <c r="N429" s="27"/>
      <c r="O429" s="53"/>
      <c r="P429" s="27"/>
      <c r="Q429" s="53"/>
      <c r="R429" s="27"/>
      <c r="S429" s="53"/>
      <c r="T429" s="27"/>
      <c r="U429" s="53"/>
    </row>
    <row r="430" spans="6:21" ht="12.75">
      <c r="F430" s="49"/>
      <c r="H430" s="27"/>
      <c r="I430" s="53"/>
      <c r="J430" s="27"/>
      <c r="K430" s="53"/>
      <c r="L430" s="27"/>
      <c r="M430" s="53"/>
      <c r="N430" s="27"/>
      <c r="O430" s="53"/>
      <c r="P430" s="27"/>
      <c r="Q430" s="53"/>
      <c r="R430" s="27"/>
      <c r="S430" s="53"/>
      <c r="T430" s="27"/>
      <c r="U430" s="53"/>
    </row>
    <row r="431" spans="6:21" ht="12.75">
      <c r="F431" s="49"/>
      <c r="H431" s="27"/>
      <c r="I431" s="53"/>
      <c r="J431" s="27"/>
      <c r="K431" s="53"/>
      <c r="L431" s="27"/>
      <c r="M431" s="53"/>
      <c r="N431" s="27"/>
      <c r="O431" s="53"/>
      <c r="P431" s="27"/>
      <c r="Q431" s="53"/>
      <c r="R431" s="27"/>
      <c r="S431" s="53"/>
      <c r="T431" s="27"/>
      <c r="U431" s="53"/>
    </row>
    <row r="432" spans="6:21" ht="12.75">
      <c r="F432" s="49"/>
      <c r="H432" s="27"/>
      <c r="I432" s="53"/>
      <c r="J432" s="27"/>
      <c r="K432" s="53"/>
      <c r="L432" s="27"/>
      <c r="M432" s="53"/>
      <c r="N432" s="27"/>
      <c r="O432" s="53"/>
      <c r="P432" s="27"/>
      <c r="Q432" s="53"/>
      <c r="R432" s="27"/>
      <c r="S432" s="53"/>
      <c r="T432" s="27"/>
      <c r="U432" s="53"/>
    </row>
    <row r="433" spans="6:21" ht="12.75">
      <c r="F433" s="49"/>
      <c r="H433" s="27"/>
      <c r="I433" s="53"/>
      <c r="J433" s="27"/>
      <c r="K433" s="53"/>
      <c r="L433" s="27"/>
      <c r="M433" s="53"/>
      <c r="N433" s="27"/>
      <c r="O433" s="53"/>
      <c r="P433" s="27"/>
      <c r="Q433" s="53"/>
      <c r="R433" s="27"/>
      <c r="S433" s="53"/>
      <c r="T433" s="27"/>
      <c r="U433" s="53"/>
    </row>
    <row r="434" spans="6:21" ht="12.75">
      <c r="F434" s="49"/>
      <c r="H434" s="27"/>
      <c r="I434" s="53"/>
      <c r="J434" s="27"/>
      <c r="K434" s="53"/>
      <c r="L434" s="27"/>
      <c r="M434" s="53"/>
      <c r="N434" s="27"/>
      <c r="O434" s="53"/>
      <c r="P434" s="27"/>
      <c r="Q434" s="53"/>
      <c r="R434" s="27"/>
      <c r="S434" s="53"/>
      <c r="T434" s="27"/>
      <c r="U434" s="53"/>
    </row>
    <row r="435" spans="6:21" ht="12.75">
      <c r="F435" s="49"/>
      <c r="H435" s="27"/>
      <c r="I435" s="53"/>
      <c r="J435" s="27"/>
      <c r="K435" s="53"/>
      <c r="L435" s="27"/>
      <c r="M435" s="53"/>
      <c r="N435" s="27"/>
      <c r="O435" s="53"/>
      <c r="P435" s="27"/>
      <c r="Q435" s="53"/>
      <c r="R435" s="27"/>
      <c r="S435" s="53"/>
      <c r="T435" s="27"/>
      <c r="U435" s="53"/>
    </row>
    <row r="436" spans="6:21" ht="12.75">
      <c r="F436" s="49"/>
      <c r="H436" s="27"/>
      <c r="I436" s="53"/>
      <c r="J436" s="27"/>
      <c r="K436" s="53"/>
      <c r="L436" s="27"/>
      <c r="M436" s="53"/>
      <c r="N436" s="27"/>
      <c r="O436" s="53"/>
      <c r="P436" s="27"/>
      <c r="Q436" s="53"/>
      <c r="R436" s="27"/>
      <c r="S436" s="53"/>
      <c r="T436" s="27"/>
      <c r="U436" s="53"/>
    </row>
    <row r="437" spans="6:21" ht="12.75">
      <c r="F437" s="49"/>
      <c r="H437" s="27"/>
      <c r="I437" s="53"/>
      <c r="J437" s="27"/>
      <c r="K437" s="53"/>
      <c r="L437" s="27"/>
      <c r="M437" s="53"/>
      <c r="N437" s="27"/>
      <c r="O437" s="53"/>
      <c r="P437" s="27"/>
      <c r="Q437" s="53"/>
      <c r="R437" s="27"/>
      <c r="S437" s="53"/>
      <c r="T437" s="27"/>
      <c r="U437" s="53"/>
    </row>
    <row r="438" spans="6:21" ht="12.75">
      <c r="F438" s="49"/>
      <c r="H438" s="27"/>
      <c r="I438" s="53"/>
      <c r="J438" s="27"/>
      <c r="K438" s="53"/>
      <c r="L438" s="27"/>
      <c r="M438" s="53"/>
      <c r="N438" s="27"/>
      <c r="O438" s="53"/>
      <c r="P438" s="27"/>
      <c r="Q438" s="53"/>
      <c r="R438" s="27"/>
      <c r="S438" s="53"/>
      <c r="T438" s="27"/>
      <c r="U438" s="53"/>
    </row>
    <row r="439" spans="6:21" ht="12.75">
      <c r="F439" s="49"/>
      <c r="H439" s="27"/>
      <c r="I439" s="53"/>
      <c r="J439" s="27"/>
      <c r="K439" s="53"/>
      <c r="L439" s="27"/>
      <c r="M439" s="53"/>
      <c r="N439" s="27"/>
      <c r="O439" s="53"/>
      <c r="P439" s="27"/>
      <c r="Q439" s="53"/>
      <c r="R439" s="27"/>
      <c r="S439" s="53"/>
      <c r="T439" s="27"/>
      <c r="U439" s="53"/>
    </row>
    <row r="440" spans="6:21" ht="12.75">
      <c r="F440" s="49"/>
      <c r="H440" s="27"/>
      <c r="I440" s="53"/>
      <c r="J440" s="27"/>
      <c r="K440" s="53"/>
      <c r="L440" s="27"/>
      <c r="M440" s="53"/>
      <c r="N440" s="27"/>
      <c r="O440" s="53"/>
      <c r="P440" s="27"/>
      <c r="Q440" s="53"/>
      <c r="R440" s="27"/>
      <c r="S440" s="53"/>
      <c r="T440" s="27"/>
      <c r="U440" s="53"/>
    </row>
    <row r="441" spans="6:21" ht="12.75">
      <c r="F441" s="49"/>
      <c r="H441" s="27"/>
      <c r="I441" s="53"/>
      <c r="J441" s="27"/>
      <c r="K441" s="53"/>
      <c r="L441" s="27"/>
      <c r="M441" s="53"/>
      <c r="N441" s="27"/>
      <c r="O441" s="53"/>
      <c r="P441" s="27"/>
      <c r="Q441" s="53"/>
      <c r="R441" s="27"/>
      <c r="S441" s="53"/>
      <c r="T441" s="27"/>
      <c r="U441" s="53"/>
    </row>
    <row r="442" spans="6:21" ht="12.75">
      <c r="F442" s="49"/>
      <c r="H442" s="27"/>
      <c r="I442" s="53"/>
      <c r="J442" s="27"/>
      <c r="K442" s="53"/>
      <c r="L442" s="27"/>
      <c r="M442" s="53"/>
      <c r="N442" s="27"/>
      <c r="O442" s="53"/>
      <c r="P442" s="27"/>
      <c r="Q442" s="53"/>
      <c r="R442" s="27"/>
      <c r="S442" s="53"/>
      <c r="T442" s="27"/>
      <c r="U442" s="53"/>
    </row>
    <row r="443" spans="6:21" ht="12.75">
      <c r="F443" s="49"/>
      <c r="H443" s="27"/>
      <c r="I443" s="53"/>
      <c r="J443" s="27"/>
      <c r="K443" s="53"/>
      <c r="L443" s="27"/>
      <c r="M443" s="53"/>
      <c r="N443" s="27"/>
      <c r="O443" s="53"/>
      <c r="P443" s="27"/>
      <c r="Q443" s="53"/>
      <c r="R443" s="27"/>
      <c r="S443" s="53"/>
      <c r="T443" s="27"/>
      <c r="U443" s="53"/>
    </row>
    <row r="444" spans="6:21" ht="12.75">
      <c r="F444" s="49"/>
      <c r="H444" s="27"/>
      <c r="I444" s="53"/>
      <c r="J444" s="27"/>
      <c r="K444" s="53"/>
      <c r="L444" s="27"/>
      <c r="M444" s="53"/>
      <c r="N444" s="27"/>
      <c r="O444" s="53"/>
      <c r="P444" s="27"/>
      <c r="Q444" s="53"/>
      <c r="R444" s="27"/>
      <c r="S444" s="53"/>
      <c r="T444" s="27"/>
      <c r="U444" s="53"/>
    </row>
    <row r="445" spans="6:21" ht="12.75">
      <c r="F445" s="49"/>
      <c r="H445" s="27"/>
      <c r="I445" s="53"/>
      <c r="J445" s="27"/>
      <c r="K445" s="53"/>
      <c r="L445" s="27"/>
      <c r="M445" s="53"/>
      <c r="N445" s="27"/>
      <c r="O445" s="53"/>
      <c r="P445" s="27"/>
      <c r="Q445" s="53"/>
      <c r="R445" s="27"/>
      <c r="S445" s="53"/>
      <c r="T445" s="27"/>
      <c r="U445" s="53"/>
    </row>
    <row r="446" spans="6:21" ht="12.75">
      <c r="F446" s="49"/>
      <c r="H446" s="27"/>
      <c r="I446" s="53"/>
      <c r="J446" s="27"/>
      <c r="K446" s="53"/>
      <c r="L446" s="27"/>
      <c r="M446" s="53"/>
      <c r="N446" s="27"/>
      <c r="O446" s="53"/>
      <c r="P446" s="27"/>
      <c r="Q446" s="53"/>
      <c r="R446" s="27"/>
      <c r="S446" s="53"/>
      <c r="T446" s="27"/>
      <c r="U446" s="53"/>
    </row>
    <row r="447" spans="6:21" ht="12.75">
      <c r="F447" s="49"/>
      <c r="H447" s="27"/>
      <c r="I447" s="53"/>
      <c r="J447" s="27"/>
      <c r="K447" s="53"/>
      <c r="L447" s="27"/>
      <c r="M447" s="53"/>
      <c r="N447" s="27"/>
      <c r="O447" s="53"/>
      <c r="P447" s="27"/>
      <c r="Q447" s="53"/>
      <c r="R447" s="27"/>
      <c r="S447" s="53"/>
      <c r="T447" s="27"/>
      <c r="U447" s="53"/>
    </row>
    <row r="448" spans="6:21" ht="12.75">
      <c r="F448" s="49"/>
      <c r="H448" s="27"/>
      <c r="I448" s="53"/>
      <c r="J448" s="27"/>
      <c r="K448" s="53"/>
      <c r="L448" s="27"/>
      <c r="M448" s="53"/>
      <c r="N448" s="27"/>
      <c r="O448" s="53"/>
      <c r="P448" s="27"/>
      <c r="Q448" s="53"/>
      <c r="R448" s="27"/>
      <c r="S448" s="53"/>
      <c r="T448" s="27"/>
      <c r="U448" s="53"/>
    </row>
    <row r="449" spans="6:21" ht="12.75">
      <c r="F449" s="49"/>
      <c r="H449" s="27"/>
      <c r="I449" s="53"/>
      <c r="J449" s="27"/>
      <c r="K449" s="53"/>
      <c r="L449" s="27"/>
      <c r="M449" s="53"/>
      <c r="N449" s="27"/>
      <c r="O449" s="53"/>
      <c r="P449" s="27"/>
      <c r="Q449" s="53"/>
      <c r="R449" s="27"/>
      <c r="S449" s="53"/>
      <c r="T449" s="27"/>
      <c r="U449" s="53"/>
    </row>
    <row r="450" spans="6:21" ht="12.75">
      <c r="F450" s="49"/>
      <c r="H450" s="27"/>
      <c r="I450" s="53"/>
      <c r="J450" s="27"/>
      <c r="K450" s="53"/>
      <c r="L450" s="27"/>
      <c r="M450" s="53"/>
      <c r="N450" s="27"/>
      <c r="O450" s="53"/>
      <c r="P450" s="27"/>
      <c r="Q450" s="53"/>
      <c r="R450" s="27"/>
      <c r="S450" s="53"/>
      <c r="T450" s="27"/>
      <c r="U450" s="53"/>
    </row>
    <row r="451" spans="6:21" ht="12.75">
      <c r="F451" s="49"/>
      <c r="H451" s="27"/>
      <c r="I451" s="53"/>
      <c r="J451" s="27"/>
      <c r="K451" s="53"/>
      <c r="L451" s="27"/>
      <c r="M451" s="53"/>
      <c r="N451" s="27"/>
      <c r="O451" s="53"/>
      <c r="P451" s="27"/>
      <c r="Q451" s="53"/>
      <c r="R451" s="27"/>
      <c r="S451" s="53"/>
      <c r="T451" s="27"/>
      <c r="U451" s="53"/>
    </row>
    <row r="452" spans="6:21" ht="12.75">
      <c r="F452" s="49"/>
      <c r="H452" s="27"/>
      <c r="I452" s="53"/>
      <c r="J452" s="27"/>
      <c r="K452" s="53"/>
      <c r="L452" s="27"/>
      <c r="M452" s="53"/>
      <c r="N452" s="27"/>
      <c r="O452" s="53"/>
      <c r="P452" s="27"/>
      <c r="Q452" s="53"/>
      <c r="R452" s="27"/>
      <c r="S452" s="53"/>
      <c r="T452" s="27"/>
      <c r="U452" s="53"/>
    </row>
    <row r="453" spans="6:21" ht="12.75">
      <c r="F453" s="49"/>
      <c r="H453" s="27"/>
      <c r="I453" s="53"/>
      <c r="J453" s="27"/>
      <c r="K453" s="53"/>
      <c r="L453" s="27"/>
      <c r="M453" s="53"/>
      <c r="N453" s="27"/>
      <c r="O453" s="53"/>
      <c r="P453" s="27"/>
      <c r="Q453" s="53"/>
      <c r="R453" s="27"/>
      <c r="S453" s="53"/>
      <c r="T453" s="27"/>
      <c r="U453" s="53"/>
    </row>
    <row r="454" spans="6:21" ht="12.75">
      <c r="F454" s="49"/>
      <c r="H454" s="27"/>
      <c r="I454" s="53"/>
      <c r="J454" s="27"/>
      <c r="K454" s="53"/>
      <c r="L454" s="27"/>
      <c r="M454" s="53"/>
      <c r="N454" s="27"/>
      <c r="O454" s="53"/>
      <c r="P454" s="27"/>
      <c r="Q454" s="53"/>
      <c r="R454" s="27"/>
      <c r="S454" s="53"/>
      <c r="T454" s="27"/>
      <c r="U454" s="53"/>
    </row>
    <row r="455" spans="6:21" ht="12.75">
      <c r="F455" s="49"/>
      <c r="H455" s="27"/>
      <c r="I455" s="53"/>
      <c r="J455" s="27"/>
      <c r="K455" s="53"/>
      <c r="L455" s="27"/>
      <c r="M455" s="53"/>
      <c r="N455" s="27"/>
      <c r="O455" s="53"/>
      <c r="P455" s="27"/>
      <c r="Q455" s="53"/>
      <c r="R455" s="27"/>
      <c r="S455" s="53"/>
      <c r="T455" s="27"/>
      <c r="U455" s="53"/>
    </row>
    <row r="456" spans="6:21" ht="12.75">
      <c r="F456" s="49"/>
      <c r="H456" s="27"/>
      <c r="I456" s="53"/>
      <c r="J456" s="27"/>
      <c r="K456" s="53"/>
      <c r="L456" s="27"/>
      <c r="M456" s="53"/>
      <c r="N456" s="27"/>
      <c r="O456" s="53"/>
      <c r="P456" s="27"/>
      <c r="Q456" s="53"/>
      <c r="R456" s="27"/>
      <c r="S456" s="53"/>
      <c r="T456" s="27"/>
      <c r="U456" s="53"/>
    </row>
    <row r="457" spans="6:21" ht="12.75">
      <c r="F457" s="49"/>
      <c r="H457" s="27"/>
      <c r="I457" s="53"/>
      <c r="J457" s="27"/>
      <c r="K457" s="53"/>
      <c r="L457" s="27"/>
      <c r="M457" s="53"/>
      <c r="N457" s="27"/>
      <c r="O457" s="53"/>
      <c r="P457" s="27"/>
      <c r="Q457" s="53"/>
      <c r="R457" s="27"/>
      <c r="S457" s="53"/>
      <c r="T457" s="27"/>
      <c r="U457" s="53"/>
    </row>
    <row r="458" spans="6:21" ht="12.75">
      <c r="F458" s="49"/>
      <c r="H458" s="27"/>
      <c r="I458" s="53"/>
      <c r="J458" s="27"/>
      <c r="K458" s="53"/>
      <c r="L458" s="27"/>
      <c r="M458" s="53"/>
      <c r="N458" s="27"/>
      <c r="O458" s="53"/>
      <c r="P458" s="27"/>
      <c r="Q458" s="53"/>
      <c r="R458" s="27"/>
      <c r="S458" s="53"/>
      <c r="T458" s="27"/>
      <c r="U458" s="53"/>
    </row>
    <row r="459" spans="6:21" ht="12.75">
      <c r="F459" s="49"/>
      <c r="H459" s="27"/>
      <c r="I459" s="53"/>
      <c r="J459" s="27"/>
      <c r="K459" s="53"/>
      <c r="L459" s="27"/>
      <c r="M459" s="53"/>
      <c r="N459" s="27"/>
      <c r="O459" s="53"/>
      <c r="P459" s="27"/>
      <c r="Q459" s="53"/>
      <c r="R459" s="27"/>
      <c r="S459" s="53"/>
      <c r="T459" s="27"/>
      <c r="U459" s="53"/>
    </row>
    <row r="460" spans="6:21" ht="12.75">
      <c r="F460" s="49"/>
      <c r="H460" s="27"/>
      <c r="I460" s="53"/>
      <c r="J460" s="27"/>
      <c r="K460" s="53"/>
      <c r="L460" s="27"/>
      <c r="M460" s="53"/>
      <c r="N460" s="27"/>
      <c r="O460" s="53"/>
      <c r="P460" s="27"/>
      <c r="Q460" s="53"/>
      <c r="R460" s="27"/>
      <c r="S460" s="53"/>
      <c r="T460" s="27"/>
      <c r="U460" s="53"/>
    </row>
    <row r="461" spans="6:21" ht="12.75">
      <c r="F461" s="49"/>
      <c r="H461" s="27"/>
      <c r="I461" s="53"/>
      <c r="J461" s="27"/>
      <c r="K461" s="53"/>
      <c r="L461" s="27"/>
      <c r="M461" s="53"/>
      <c r="N461" s="27"/>
      <c r="O461" s="53"/>
      <c r="P461" s="27"/>
      <c r="Q461" s="53"/>
      <c r="R461" s="27"/>
      <c r="S461" s="53"/>
      <c r="T461" s="27"/>
      <c r="U461" s="53"/>
    </row>
    <row r="462" spans="6:21" ht="12.75">
      <c r="F462" s="49"/>
      <c r="H462" s="27"/>
      <c r="I462" s="53"/>
      <c r="J462" s="27"/>
      <c r="K462" s="53"/>
      <c r="L462" s="27"/>
      <c r="M462" s="53"/>
      <c r="N462" s="27"/>
      <c r="O462" s="53"/>
      <c r="P462" s="27"/>
      <c r="Q462" s="53"/>
      <c r="R462" s="27"/>
      <c r="S462" s="53"/>
      <c r="T462" s="27"/>
      <c r="U462" s="53"/>
    </row>
    <row r="463" spans="6:21" ht="12.75">
      <c r="F463" s="49"/>
      <c r="H463" s="27"/>
      <c r="I463" s="53"/>
      <c r="J463" s="27"/>
      <c r="K463" s="53"/>
      <c r="L463" s="27"/>
      <c r="M463" s="53"/>
      <c r="N463" s="27"/>
      <c r="O463" s="53"/>
      <c r="P463" s="27"/>
      <c r="Q463" s="53"/>
      <c r="R463" s="27"/>
      <c r="S463" s="53"/>
      <c r="T463" s="27"/>
      <c r="U463" s="53"/>
    </row>
    <row r="464" spans="6:21" ht="12.75">
      <c r="F464" s="49"/>
      <c r="H464" s="27"/>
      <c r="I464" s="53"/>
      <c r="J464" s="27"/>
      <c r="K464" s="53"/>
      <c r="L464" s="27"/>
      <c r="M464" s="53"/>
      <c r="N464" s="27"/>
      <c r="O464" s="53"/>
      <c r="P464" s="27"/>
      <c r="Q464" s="53"/>
      <c r="R464" s="27"/>
      <c r="S464" s="53"/>
      <c r="T464" s="27"/>
      <c r="U464" s="53"/>
    </row>
    <row r="465" spans="6:21" ht="12.75">
      <c r="F465" s="49"/>
      <c r="H465" s="27"/>
      <c r="I465" s="53"/>
      <c r="J465" s="27"/>
      <c r="K465" s="53"/>
      <c r="L465" s="27"/>
      <c r="M465" s="53"/>
      <c r="N465" s="27"/>
      <c r="O465" s="53"/>
      <c r="P465" s="27"/>
      <c r="Q465" s="53"/>
      <c r="R465" s="27"/>
      <c r="S465" s="53"/>
      <c r="T465" s="27"/>
      <c r="U465" s="53"/>
    </row>
    <row r="466" spans="6:21" ht="12.75">
      <c r="F466" s="49"/>
      <c r="H466" s="27"/>
      <c r="I466" s="53"/>
      <c r="J466" s="27"/>
      <c r="K466" s="53"/>
      <c r="L466" s="27"/>
      <c r="M466" s="53"/>
      <c r="N466" s="27"/>
      <c r="O466" s="53"/>
      <c r="P466" s="27"/>
      <c r="Q466" s="53"/>
      <c r="R466" s="27"/>
      <c r="S466" s="53"/>
      <c r="T466" s="27"/>
      <c r="U466" s="53"/>
    </row>
    <row r="467" spans="6:21" ht="12.75">
      <c r="F467" s="49"/>
      <c r="H467" s="27"/>
      <c r="I467" s="53"/>
      <c r="J467" s="27"/>
      <c r="K467" s="53"/>
      <c r="L467" s="27"/>
      <c r="M467" s="53"/>
      <c r="N467" s="27"/>
      <c r="O467" s="53"/>
      <c r="P467" s="27"/>
      <c r="Q467" s="53"/>
      <c r="R467" s="27"/>
      <c r="S467" s="53"/>
      <c r="T467" s="27"/>
      <c r="U467" s="53"/>
    </row>
    <row r="468" spans="6:21" ht="12.75">
      <c r="F468" s="49"/>
      <c r="H468" s="27"/>
      <c r="I468" s="53"/>
      <c r="J468" s="27"/>
      <c r="K468" s="53"/>
      <c r="L468" s="27"/>
      <c r="M468" s="53"/>
      <c r="N468" s="27"/>
      <c r="O468" s="53"/>
      <c r="P468" s="27"/>
      <c r="Q468" s="53"/>
      <c r="R468" s="27"/>
      <c r="S468" s="53"/>
      <c r="T468" s="27"/>
      <c r="U468" s="53"/>
    </row>
    <row r="469" spans="6:21" ht="12.75">
      <c r="F469" s="49"/>
      <c r="H469" s="27"/>
      <c r="I469" s="53"/>
      <c r="J469" s="27"/>
      <c r="K469" s="53"/>
      <c r="L469" s="27"/>
      <c r="M469" s="53"/>
      <c r="N469" s="27"/>
      <c r="O469" s="53"/>
      <c r="P469" s="27"/>
      <c r="Q469" s="53"/>
      <c r="R469" s="27"/>
      <c r="S469" s="53"/>
      <c r="T469" s="27"/>
      <c r="U469" s="53"/>
    </row>
    <row r="470" spans="6:21" ht="12.75">
      <c r="F470" s="49"/>
      <c r="H470" s="27"/>
      <c r="I470" s="53"/>
      <c r="J470" s="27"/>
      <c r="K470" s="53"/>
      <c r="L470" s="27"/>
      <c r="M470" s="53"/>
      <c r="N470" s="27"/>
      <c r="O470" s="53"/>
      <c r="P470" s="27"/>
      <c r="Q470" s="53"/>
      <c r="R470" s="27"/>
      <c r="S470" s="53"/>
      <c r="T470" s="27"/>
      <c r="U470" s="53"/>
    </row>
    <row r="471" spans="6:21" ht="12.75">
      <c r="F471" s="49"/>
      <c r="H471" s="27"/>
      <c r="I471" s="53"/>
      <c r="J471" s="27"/>
      <c r="K471" s="53"/>
      <c r="L471" s="27"/>
      <c r="M471" s="53"/>
      <c r="N471" s="27"/>
      <c r="O471" s="53"/>
      <c r="P471" s="27"/>
      <c r="Q471" s="53"/>
      <c r="R471" s="27"/>
      <c r="S471" s="53"/>
      <c r="T471" s="27"/>
      <c r="U471" s="53"/>
    </row>
    <row r="472" spans="6:21" ht="12.75">
      <c r="F472" s="49"/>
      <c r="H472" s="27"/>
      <c r="I472" s="53"/>
      <c r="J472" s="27"/>
      <c r="K472" s="53"/>
      <c r="L472" s="27"/>
      <c r="M472" s="53"/>
      <c r="N472" s="27"/>
      <c r="O472" s="53"/>
      <c r="P472" s="27"/>
      <c r="Q472" s="53"/>
      <c r="R472" s="27"/>
      <c r="S472" s="53"/>
      <c r="T472" s="27"/>
      <c r="U472" s="53"/>
    </row>
    <row r="473" spans="6:21" ht="12.75">
      <c r="F473" s="49"/>
      <c r="H473" s="27"/>
      <c r="I473" s="53"/>
      <c r="J473" s="27"/>
      <c r="K473" s="53"/>
      <c r="L473" s="27"/>
      <c r="M473" s="53"/>
      <c r="N473" s="27"/>
      <c r="O473" s="53"/>
      <c r="P473" s="27"/>
      <c r="Q473" s="53"/>
      <c r="R473" s="27"/>
      <c r="S473" s="53"/>
      <c r="T473" s="27"/>
      <c r="U473" s="53"/>
    </row>
    <row r="474" spans="6:21" ht="12.75">
      <c r="F474" s="49"/>
      <c r="H474" s="27"/>
      <c r="I474" s="53"/>
      <c r="J474" s="27"/>
      <c r="K474" s="53"/>
      <c r="L474" s="27"/>
      <c r="M474" s="53"/>
      <c r="N474" s="27"/>
      <c r="O474" s="53"/>
      <c r="P474" s="27"/>
      <c r="Q474" s="53"/>
      <c r="R474" s="27"/>
      <c r="S474" s="53"/>
      <c r="T474" s="27"/>
      <c r="U474" s="53"/>
    </row>
    <row r="475" spans="6:21" ht="12.75">
      <c r="F475" s="49"/>
      <c r="H475" s="27"/>
      <c r="I475" s="53"/>
      <c r="J475" s="27"/>
      <c r="K475" s="53"/>
      <c r="L475" s="27"/>
      <c r="M475" s="53"/>
      <c r="N475" s="27"/>
      <c r="O475" s="53"/>
      <c r="P475" s="27"/>
      <c r="Q475" s="53"/>
      <c r="R475" s="27"/>
      <c r="S475" s="53"/>
      <c r="T475" s="27"/>
      <c r="U475" s="53"/>
    </row>
    <row r="476" spans="6:21" ht="12.75">
      <c r="F476" s="49"/>
      <c r="H476" s="27"/>
      <c r="I476" s="53"/>
      <c r="J476" s="27"/>
      <c r="K476" s="53"/>
      <c r="L476" s="27"/>
      <c r="M476" s="53"/>
      <c r="N476" s="27"/>
      <c r="O476" s="53"/>
      <c r="P476" s="27"/>
      <c r="Q476" s="53"/>
      <c r="R476" s="27"/>
      <c r="S476" s="53"/>
      <c r="T476" s="27"/>
      <c r="U476" s="53"/>
    </row>
    <row r="477" spans="6:21" ht="12.75">
      <c r="F477" s="49"/>
      <c r="H477" s="27"/>
      <c r="I477" s="53"/>
      <c r="J477" s="27"/>
      <c r="K477" s="53"/>
      <c r="L477" s="27"/>
      <c r="M477" s="53"/>
      <c r="N477" s="27"/>
      <c r="O477" s="53"/>
      <c r="P477" s="27"/>
      <c r="Q477" s="53"/>
      <c r="R477" s="27"/>
      <c r="S477" s="53"/>
      <c r="T477" s="27"/>
      <c r="U477" s="53"/>
    </row>
    <row r="478" spans="6:21" ht="12.75">
      <c r="F478" s="49"/>
      <c r="H478" s="27"/>
      <c r="I478" s="53"/>
      <c r="J478" s="27"/>
      <c r="K478" s="53"/>
      <c r="L478" s="27"/>
      <c r="M478" s="53"/>
      <c r="N478" s="27"/>
      <c r="O478" s="53"/>
      <c r="P478" s="27"/>
      <c r="Q478" s="53"/>
      <c r="R478" s="27"/>
      <c r="S478" s="53"/>
      <c r="T478" s="27"/>
      <c r="U478" s="53"/>
    </row>
    <row r="479" spans="6:21" ht="12.75">
      <c r="F479" s="49"/>
      <c r="H479" s="27"/>
      <c r="I479" s="53"/>
      <c r="J479" s="27"/>
      <c r="K479" s="53"/>
      <c r="L479" s="27"/>
      <c r="M479" s="53"/>
      <c r="N479" s="27"/>
      <c r="O479" s="53"/>
      <c r="P479" s="27"/>
      <c r="Q479" s="53"/>
      <c r="R479" s="27"/>
      <c r="S479" s="53"/>
      <c r="T479" s="27"/>
      <c r="U479" s="53"/>
    </row>
    <row r="480" spans="6:21" ht="12.75">
      <c r="F480" s="49"/>
      <c r="H480" s="27"/>
      <c r="I480" s="53"/>
      <c r="J480" s="27"/>
      <c r="K480" s="53"/>
      <c r="L480" s="27"/>
      <c r="M480" s="53"/>
      <c r="N480" s="27"/>
      <c r="O480" s="53"/>
      <c r="P480" s="27"/>
      <c r="Q480" s="53"/>
      <c r="R480" s="27"/>
      <c r="S480" s="53"/>
      <c r="T480" s="27"/>
      <c r="U480" s="53"/>
    </row>
    <row r="481" spans="6:21" ht="12.75">
      <c r="F481" s="49"/>
      <c r="H481" s="27"/>
      <c r="I481" s="53"/>
      <c r="J481" s="27"/>
      <c r="K481" s="53"/>
      <c r="L481" s="27"/>
      <c r="M481" s="53"/>
      <c r="N481" s="27"/>
      <c r="O481" s="53"/>
      <c r="P481" s="27"/>
      <c r="Q481" s="53"/>
      <c r="R481" s="27"/>
      <c r="S481" s="53"/>
      <c r="T481" s="27"/>
      <c r="U481" s="53"/>
    </row>
    <row r="482" spans="6:21" ht="12.75">
      <c r="F482" s="49"/>
      <c r="H482" s="27"/>
      <c r="I482" s="53"/>
      <c r="J482" s="27"/>
      <c r="K482" s="53"/>
      <c r="L482" s="27"/>
      <c r="M482" s="53"/>
      <c r="N482" s="27"/>
      <c r="O482" s="53"/>
      <c r="P482" s="27"/>
      <c r="Q482" s="53"/>
      <c r="R482" s="27"/>
      <c r="S482" s="53"/>
      <c r="T482" s="27"/>
      <c r="U482" s="53"/>
    </row>
    <row r="483" spans="6:21" ht="12.75">
      <c r="F483" s="49"/>
      <c r="H483" s="27"/>
      <c r="I483" s="53"/>
      <c r="J483" s="27"/>
      <c r="K483" s="53"/>
      <c r="L483" s="27"/>
      <c r="M483" s="53"/>
      <c r="N483" s="27"/>
      <c r="O483" s="53"/>
      <c r="P483" s="27"/>
      <c r="Q483" s="53"/>
      <c r="R483" s="27"/>
      <c r="S483" s="53"/>
      <c r="T483" s="27"/>
      <c r="U483" s="53"/>
    </row>
    <row r="484" spans="6:21" ht="12.75">
      <c r="F484" s="49"/>
      <c r="H484" s="27"/>
      <c r="I484" s="53"/>
      <c r="J484" s="27"/>
      <c r="K484" s="53"/>
      <c r="L484" s="27"/>
      <c r="M484" s="53"/>
      <c r="N484" s="27"/>
      <c r="O484" s="53"/>
      <c r="P484" s="27"/>
      <c r="Q484" s="53"/>
      <c r="R484" s="27"/>
      <c r="S484" s="53"/>
      <c r="T484" s="27"/>
      <c r="U484" s="53"/>
    </row>
    <row r="485" spans="6:21" ht="12.75">
      <c r="F485" s="49"/>
      <c r="H485" s="27"/>
      <c r="I485" s="53"/>
      <c r="J485" s="27"/>
      <c r="K485" s="53"/>
      <c r="L485" s="27"/>
      <c r="M485" s="53"/>
      <c r="N485" s="27"/>
      <c r="O485" s="53"/>
      <c r="P485" s="27"/>
      <c r="Q485" s="53"/>
      <c r="R485" s="27"/>
      <c r="S485" s="53"/>
      <c r="T485" s="27"/>
      <c r="U485" s="53"/>
    </row>
    <row r="486" spans="6:21" ht="12.75">
      <c r="F486" s="49"/>
      <c r="H486" s="27"/>
      <c r="I486" s="53"/>
      <c r="J486" s="27"/>
      <c r="K486" s="53"/>
      <c r="L486" s="27"/>
      <c r="M486" s="53"/>
      <c r="N486" s="27"/>
      <c r="O486" s="53"/>
      <c r="P486" s="27"/>
      <c r="Q486" s="53"/>
      <c r="R486" s="27"/>
      <c r="S486" s="53"/>
      <c r="T486" s="27"/>
      <c r="U486" s="53"/>
    </row>
    <row r="487" spans="6:21" ht="12.75">
      <c r="F487" s="49"/>
      <c r="H487" s="27"/>
      <c r="I487" s="53"/>
      <c r="J487" s="27"/>
      <c r="K487" s="53"/>
      <c r="L487" s="27"/>
      <c r="M487" s="53"/>
      <c r="N487" s="27"/>
      <c r="O487" s="53"/>
      <c r="P487" s="27"/>
      <c r="Q487" s="53"/>
      <c r="R487" s="27"/>
      <c r="S487" s="53"/>
      <c r="T487" s="27"/>
      <c r="U487" s="53"/>
    </row>
    <row r="488" spans="6:21" ht="12.75">
      <c r="F488" s="49"/>
      <c r="H488" s="27"/>
      <c r="I488" s="53"/>
      <c r="J488" s="27"/>
      <c r="K488" s="53"/>
      <c r="L488" s="27"/>
      <c r="M488" s="53"/>
      <c r="N488" s="27"/>
      <c r="O488" s="53"/>
      <c r="P488" s="27"/>
      <c r="Q488" s="53"/>
      <c r="R488" s="27"/>
      <c r="S488" s="53"/>
      <c r="T488" s="27"/>
      <c r="U488" s="53"/>
    </row>
    <row r="489" spans="6:21" ht="12.75">
      <c r="F489" s="49"/>
      <c r="H489" s="27"/>
      <c r="I489" s="53"/>
      <c r="J489" s="27"/>
      <c r="K489" s="53"/>
      <c r="L489" s="27"/>
      <c r="M489" s="53"/>
      <c r="N489" s="27"/>
      <c r="O489" s="53"/>
      <c r="P489" s="27"/>
      <c r="Q489" s="53"/>
      <c r="R489" s="27"/>
      <c r="S489" s="53"/>
      <c r="T489" s="27"/>
      <c r="U489" s="53"/>
    </row>
    <row r="490" spans="6:21" ht="12.75">
      <c r="F490" s="49"/>
      <c r="H490" s="27"/>
      <c r="I490" s="53"/>
      <c r="J490" s="27"/>
      <c r="K490" s="53"/>
      <c r="L490" s="27"/>
      <c r="M490" s="53"/>
      <c r="N490" s="27"/>
      <c r="O490" s="53"/>
      <c r="P490" s="27"/>
      <c r="Q490" s="53"/>
      <c r="R490" s="27"/>
      <c r="S490" s="53"/>
      <c r="T490" s="27"/>
      <c r="U490" s="53"/>
    </row>
    <row r="491" spans="6:21" ht="12.75">
      <c r="F491" s="49"/>
      <c r="H491" s="27"/>
      <c r="I491" s="53"/>
      <c r="J491" s="27"/>
      <c r="K491" s="53"/>
      <c r="L491" s="27"/>
      <c r="M491" s="53"/>
      <c r="N491" s="27"/>
      <c r="O491" s="53"/>
      <c r="P491" s="27"/>
      <c r="Q491" s="53"/>
      <c r="R491" s="27"/>
      <c r="S491" s="53"/>
      <c r="T491" s="27"/>
      <c r="U491" s="53"/>
    </row>
    <row r="492" spans="6:21" ht="12.75">
      <c r="F492" s="49"/>
      <c r="H492" s="27"/>
      <c r="I492" s="53"/>
      <c r="J492" s="27"/>
      <c r="K492" s="53"/>
      <c r="L492" s="27"/>
      <c r="M492" s="53"/>
      <c r="N492" s="27"/>
      <c r="O492" s="53"/>
      <c r="P492" s="27"/>
      <c r="Q492" s="53"/>
      <c r="R492" s="27"/>
      <c r="S492" s="53"/>
      <c r="T492" s="27"/>
      <c r="U492" s="53"/>
    </row>
    <row r="493" spans="6:21" ht="12.75">
      <c r="F493" s="49"/>
      <c r="H493" s="27"/>
      <c r="I493" s="53"/>
      <c r="J493" s="27"/>
      <c r="K493" s="53"/>
      <c r="L493" s="27"/>
      <c r="M493" s="53"/>
      <c r="N493" s="27"/>
      <c r="O493" s="53"/>
      <c r="P493" s="27"/>
      <c r="Q493" s="53"/>
      <c r="R493" s="27"/>
      <c r="S493" s="53"/>
      <c r="T493" s="27"/>
      <c r="U493" s="53"/>
    </row>
    <row r="494" spans="6:21" ht="12.75">
      <c r="F494" s="49"/>
      <c r="H494" s="27"/>
      <c r="I494" s="53"/>
      <c r="J494" s="27"/>
      <c r="K494" s="53"/>
      <c r="L494" s="27"/>
      <c r="M494" s="53"/>
      <c r="N494" s="27"/>
      <c r="O494" s="53"/>
      <c r="P494" s="27"/>
      <c r="Q494" s="53"/>
      <c r="R494" s="27"/>
      <c r="S494" s="53"/>
      <c r="T494" s="27"/>
      <c r="U494" s="53"/>
    </row>
    <row r="495" spans="6:21" ht="12.75">
      <c r="F495" s="49"/>
      <c r="H495" s="27"/>
      <c r="I495" s="53"/>
      <c r="J495" s="27"/>
      <c r="K495" s="53"/>
      <c r="L495" s="27"/>
      <c r="M495" s="53"/>
      <c r="N495" s="27"/>
      <c r="O495" s="53"/>
      <c r="P495" s="27"/>
      <c r="Q495" s="53"/>
      <c r="R495" s="27"/>
      <c r="S495" s="53"/>
      <c r="T495" s="27"/>
      <c r="U495" s="53"/>
    </row>
    <row r="496" spans="6:21" ht="12.75">
      <c r="F496" s="49"/>
      <c r="H496" s="27"/>
      <c r="I496" s="53"/>
      <c r="J496" s="27"/>
      <c r="K496" s="53"/>
      <c r="L496" s="27"/>
      <c r="M496" s="53"/>
      <c r="N496" s="27"/>
      <c r="O496" s="53"/>
      <c r="P496" s="27"/>
      <c r="Q496" s="53"/>
      <c r="R496" s="27"/>
      <c r="S496" s="53"/>
      <c r="T496" s="27"/>
      <c r="U496" s="53"/>
    </row>
    <row r="497" spans="6:21" ht="12.75">
      <c r="F497" s="49"/>
      <c r="H497" s="27"/>
      <c r="I497" s="53"/>
      <c r="J497" s="27"/>
      <c r="K497" s="53"/>
      <c r="L497" s="27"/>
      <c r="M497" s="53"/>
      <c r="N497" s="27"/>
      <c r="O497" s="53"/>
      <c r="P497" s="27"/>
      <c r="Q497" s="53"/>
      <c r="R497" s="27"/>
      <c r="S497" s="53"/>
      <c r="T497" s="27"/>
      <c r="U497" s="53"/>
    </row>
    <row r="498" spans="6:21" ht="12.75">
      <c r="F498" s="49"/>
      <c r="H498" s="27"/>
      <c r="I498" s="53"/>
      <c r="J498" s="27"/>
      <c r="K498" s="53"/>
      <c r="L498" s="27"/>
      <c r="M498" s="53"/>
      <c r="N498" s="27"/>
      <c r="O498" s="53"/>
      <c r="P498" s="27"/>
      <c r="Q498" s="53"/>
      <c r="R498" s="27"/>
      <c r="S498" s="53"/>
      <c r="T498" s="27"/>
      <c r="U498" s="53"/>
    </row>
    <row r="499" spans="6:21" ht="12.75">
      <c r="F499" s="49"/>
      <c r="H499" s="27"/>
      <c r="I499" s="53"/>
      <c r="J499" s="27"/>
      <c r="K499" s="53"/>
      <c r="L499" s="27"/>
      <c r="M499" s="53"/>
      <c r="N499" s="27"/>
      <c r="O499" s="53"/>
      <c r="P499" s="27"/>
      <c r="Q499" s="53"/>
      <c r="R499" s="27"/>
      <c r="S499" s="53"/>
      <c r="T499" s="27"/>
      <c r="U499" s="53"/>
    </row>
    <row r="500" spans="6:21" ht="12.75">
      <c r="F500" s="49"/>
      <c r="H500" s="27"/>
      <c r="I500" s="53"/>
      <c r="J500" s="27"/>
      <c r="K500" s="53"/>
      <c r="L500" s="27"/>
      <c r="M500" s="53"/>
      <c r="N500" s="27"/>
      <c r="O500" s="53"/>
      <c r="P500" s="27"/>
      <c r="Q500" s="53"/>
      <c r="R500" s="27"/>
      <c r="S500" s="53"/>
      <c r="T500" s="27"/>
      <c r="U500" s="53"/>
    </row>
    <row r="501" spans="6:21" ht="12.75">
      <c r="F501" s="49"/>
      <c r="H501" s="27"/>
      <c r="I501" s="53"/>
      <c r="J501" s="27"/>
      <c r="K501" s="53"/>
      <c r="L501" s="27"/>
      <c r="M501" s="53"/>
      <c r="N501" s="27"/>
      <c r="O501" s="53"/>
      <c r="P501" s="27"/>
      <c r="Q501" s="53"/>
      <c r="R501" s="27"/>
      <c r="S501" s="53"/>
      <c r="T501" s="27"/>
      <c r="U501" s="53"/>
    </row>
    <row r="502" spans="6:21" ht="12.75">
      <c r="F502" s="49"/>
      <c r="H502" s="27"/>
      <c r="I502" s="53"/>
      <c r="J502" s="27"/>
      <c r="K502" s="53"/>
      <c r="L502" s="27"/>
      <c r="M502" s="53"/>
      <c r="N502" s="27"/>
      <c r="O502" s="53"/>
      <c r="P502" s="27"/>
      <c r="Q502" s="53"/>
      <c r="R502" s="27"/>
      <c r="S502" s="53"/>
      <c r="T502" s="27"/>
      <c r="U502" s="53"/>
    </row>
    <row r="503" spans="6:21" ht="12.75">
      <c r="F503" s="49"/>
      <c r="H503" s="27"/>
      <c r="I503" s="53"/>
      <c r="J503" s="27"/>
      <c r="K503" s="53"/>
      <c r="L503" s="27"/>
      <c r="M503" s="53"/>
      <c r="N503" s="27"/>
      <c r="O503" s="53"/>
      <c r="P503" s="27"/>
      <c r="Q503" s="53"/>
      <c r="R503" s="27"/>
      <c r="S503" s="53"/>
      <c r="T503" s="27"/>
      <c r="U503" s="53"/>
    </row>
    <row r="504" spans="6:21" ht="12.75">
      <c r="F504" s="49"/>
      <c r="H504" s="27"/>
      <c r="I504" s="53"/>
      <c r="J504" s="27"/>
      <c r="K504" s="53"/>
      <c r="L504" s="27"/>
      <c r="M504" s="53"/>
      <c r="N504" s="27"/>
      <c r="O504" s="53"/>
      <c r="P504" s="27"/>
      <c r="Q504" s="53"/>
      <c r="R504" s="27"/>
      <c r="S504" s="53"/>
      <c r="T504" s="27"/>
      <c r="U504" s="53"/>
    </row>
    <row r="505" spans="6:21" ht="12.75">
      <c r="F505" s="49"/>
      <c r="H505" s="27"/>
      <c r="I505" s="53"/>
      <c r="J505" s="27"/>
      <c r="K505" s="53"/>
      <c r="L505" s="27"/>
      <c r="M505" s="53"/>
      <c r="N505" s="27"/>
      <c r="O505" s="53"/>
      <c r="P505" s="27"/>
      <c r="Q505" s="53"/>
      <c r="R505" s="27"/>
      <c r="S505" s="53"/>
      <c r="T505" s="27"/>
      <c r="U505" s="53"/>
    </row>
    <row r="506" spans="6:21" ht="12.75">
      <c r="F506" s="49"/>
      <c r="H506" s="27"/>
      <c r="I506" s="53"/>
      <c r="J506" s="27"/>
      <c r="K506" s="53"/>
      <c r="L506" s="27"/>
      <c r="M506" s="53"/>
      <c r="N506" s="27"/>
      <c r="O506" s="53"/>
      <c r="P506" s="27"/>
      <c r="Q506" s="53"/>
      <c r="R506" s="27"/>
      <c r="S506" s="53"/>
      <c r="T506" s="27"/>
      <c r="U506" s="53"/>
    </row>
    <row r="507" spans="6:21" ht="12.75">
      <c r="F507" s="49"/>
      <c r="H507" s="27"/>
      <c r="I507" s="53"/>
      <c r="J507" s="27"/>
      <c r="K507" s="53"/>
      <c r="L507" s="27"/>
      <c r="M507" s="53"/>
      <c r="N507" s="27"/>
      <c r="O507" s="53"/>
      <c r="P507" s="27"/>
      <c r="Q507" s="53"/>
      <c r="R507" s="27"/>
      <c r="S507" s="53"/>
      <c r="T507" s="27"/>
      <c r="U507" s="53"/>
    </row>
    <row r="508" spans="6:21" ht="12.75">
      <c r="F508" s="49"/>
      <c r="H508" s="27"/>
      <c r="I508" s="53"/>
      <c r="J508" s="27"/>
      <c r="K508" s="53"/>
      <c r="L508" s="27"/>
      <c r="M508" s="53"/>
      <c r="N508" s="27"/>
      <c r="O508" s="53"/>
      <c r="P508" s="27"/>
      <c r="Q508" s="53"/>
      <c r="R508" s="27"/>
      <c r="S508" s="53"/>
      <c r="T508" s="27"/>
      <c r="U508" s="53"/>
    </row>
    <row r="509" spans="6:21" ht="12.75">
      <c r="F509" s="49"/>
      <c r="H509" s="27"/>
      <c r="I509" s="53"/>
      <c r="J509" s="27"/>
      <c r="K509" s="53"/>
      <c r="L509" s="27"/>
      <c r="M509" s="53"/>
      <c r="N509" s="27"/>
      <c r="O509" s="53"/>
      <c r="P509" s="27"/>
      <c r="Q509" s="53"/>
      <c r="R509" s="27"/>
      <c r="S509" s="53"/>
      <c r="T509" s="27"/>
      <c r="U509" s="53"/>
    </row>
    <row r="510" spans="6:21" ht="12.75">
      <c r="F510" s="49"/>
      <c r="H510" s="27"/>
      <c r="I510" s="53"/>
      <c r="J510" s="27"/>
      <c r="K510" s="53"/>
      <c r="L510" s="27"/>
      <c r="M510" s="53"/>
      <c r="N510" s="27"/>
      <c r="O510" s="53"/>
      <c r="P510" s="27"/>
      <c r="Q510" s="53"/>
      <c r="R510" s="27"/>
      <c r="S510" s="53"/>
      <c r="T510" s="27"/>
      <c r="U510" s="53"/>
    </row>
    <row r="511" spans="6:21" ht="12.75">
      <c r="F511" s="49"/>
      <c r="H511" s="27"/>
      <c r="I511" s="53"/>
      <c r="J511" s="27"/>
      <c r="K511" s="53"/>
      <c r="L511" s="27"/>
      <c r="M511" s="53"/>
      <c r="N511" s="27"/>
      <c r="O511" s="53"/>
      <c r="P511" s="27"/>
      <c r="Q511" s="53"/>
      <c r="R511" s="27"/>
      <c r="S511" s="53"/>
      <c r="T511" s="27"/>
      <c r="U511" s="53"/>
    </row>
    <row r="512" spans="6:21" ht="12.75">
      <c r="F512" s="49"/>
      <c r="H512" s="27"/>
      <c r="I512" s="53"/>
      <c r="J512" s="27"/>
      <c r="K512" s="53"/>
      <c r="L512" s="27"/>
      <c r="M512" s="53"/>
      <c r="N512" s="27"/>
      <c r="O512" s="53"/>
      <c r="P512" s="27"/>
      <c r="Q512" s="53"/>
      <c r="R512" s="27"/>
      <c r="S512" s="53"/>
      <c r="T512" s="27"/>
      <c r="U512" s="53"/>
    </row>
    <row r="513" spans="6:21" ht="12.75">
      <c r="F513" s="49"/>
      <c r="H513" s="27"/>
      <c r="I513" s="53"/>
      <c r="J513" s="27"/>
      <c r="K513" s="53"/>
      <c r="L513" s="27"/>
      <c r="M513" s="53"/>
      <c r="N513" s="27"/>
      <c r="O513" s="53"/>
      <c r="P513" s="27"/>
      <c r="Q513" s="53"/>
      <c r="R513" s="27"/>
      <c r="S513" s="53"/>
      <c r="T513" s="27"/>
      <c r="U513" s="53"/>
    </row>
    <row r="514" spans="6:21" ht="12.75">
      <c r="F514" s="49"/>
      <c r="H514" s="27"/>
      <c r="I514" s="53"/>
      <c r="J514" s="27"/>
      <c r="K514" s="53"/>
      <c r="L514" s="27"/>
      <c r="M514" s="53"/>
      <c r="N514" s="27"/>
      <c r="O514" s="53"/>
      <c r="P514" s="27"/>
      <c r="Q514" s="53"/>
      <c r="R514" s="27"/>
      <c r="S514" s="53"/>
      <c r="T514" s="27"/>
      <c r="U514" s="53"/>
    </row>
    <row r="515" spans="6:21" ht="12.75">
      <c r="F515" s="49"/>
      <c r="H515" s="27"/>
      <c r="I515" s="53"/>
      <c r="J515" s="27"/>
      <c r="K515" s="53"/>
      <c r="L515" s="27"/>
      <c r="M515" s="53"/>
      <c r="N515" s="27"/>
      <c r="O515" s="53"/>
      <c r="P515" s="27"/>
      <c r="Q515" s="53"/>
      <c r="R515" s="27"/>
      <c r="S515" s="53"/>
      <c r="T515" s="27"/>
      <c r="U515" s="53"/>
    </row>
    <row r="516" spans="6:21" ht="12.75">
      <c r="F516" s="49"/>
      <c r="H516" s="27"/>
      <c r="I516" s="53"/>
      <c r="J516" s="27"/>
      <c r="K516" s="53"/>
      <c r="L516" s="27"/>
      <c r="M516" s="53"/>
      <c r="N516" s="27"/>
      <c r="O516" s="53"/>
      <c r="P516" s="27"/>
      <c r="Q516" s="53"/>
      <c r="R516" s="27"/>
      <c r="S516" s="53"/>
      <c r="T516" s="27"/>
      <c r="U516" s="53"/>
    </row>
    <row r="517" spans="6:21" ht="12.75">
      <c r="F517" s="49"/>
      <c r="H517" s="27"/>
      <c r="I517" s="53"/>
      <c r="J517" s="27"/>
      <c r="K517" s="53"/>
      <c r="L517" s="27"/>
      <c r="M517" s="53"/>
      <c r="N517" s="27"/>
      <c r="O517" s="53"/>
      <c r="P517" s="27"/>
      <c r="Q517" s="53"/>
      <c r="R517" s="27"/>
      <c r="S517" s="53"/>
      <c r="T517" s="27"/>
      <c r="U517" s="53"/>
    </row>
    <row r="518" spans="6:21" ht="12.75">
      <c r="F518" s="49"/>
      <c r="H518" s="27"/>
      <c r="I518" s="53"/>
      <c r="J518" s="27"/>
      <c r="K518" s="53"/>
      <c r="L518" s="27"/>
      <c r="M518" s="53"/>
      <c r="N518" s="27"/>
      <c r="O518" s="53"/>
      <c r="P518" s="27"/>
      <c r="Q518" s="53"/>
      <c r="R518" s="27"/>
      <c r="S518" s="53"/>
      <c r="T518" s="27"/>
      <c r="U518" s="53"/>
    </row>
    <row r="519" spans="6:21" ht="12.75">
      <c r="F519" s="49"/>
      <c r="H519" s="27"/>
      <c r="I519" s="53"/>
      <c r="J519" s="27"/>
      <c r="K519" s="53"/>
      <c r="L519" s="27"/>
      <c r="M519" s="53"/>
      <c r="N519" s="27"/>
      <c r="O519" s="53"/>
      <c r="P519" s="27"/>
      <c r="Q519" s="53"/>
      <c r="R519" s="27"/>
      <c r="S519" s="53"/>
      <c r="T519" s="27"/>
      <c r="U519" s="53"/>
    </row>
    <row r="520" spans="6:21" ht="12.75">
      <c r="F520" s="49"/>
      <c r="H520" s="27"/>
      <c r="I520" s="53"/>
      <c r="J520" s="27"/>
      <c r="K520" s="53"/>
      <c r="L520" s="27"/>
      <c r="M520" s="53"/>
      <c r="N520" s="27"/>
      <c r="O520" s="53"/>
      <c r="P520" s="27"/>
      <c r="Q520" s="53"/>
      <c r="R520" s="27"/>
      <c r="S520" s="53"/>
      <c r="T520" s="27"/>
      <c r="U520" s="53"/>
    </row>
    <row r="521" spans="6:21" ht="12.75">
      <c r="F521" s="49"/>
      <c r="H521" s="27"/>
      <c r="I521" s="53"/>
      <c r="J521" s="27"/>
      <c r="K521" s="53"/>
      <c r="L521" s="27"/>
      <c r="M521" s="53"/>
      <c r="N521" s="27"/>
      <c r="O521" s="53"/>
      <c r="P521" s="27"/>
      <c r="Q521" s="53"/>
      <c r="R521" s="27"/>
      <c r="S521" s="53"/>
      <c r="T521" s="27"/>
      <c r="U521" s="53"/>
    </row>
    <row r="522" spans="6:21" ht="12.75">
      <c r="F522" s="49"/>
      <c r="H522" s="27"/>
      <c r="I522" s="53"/>
      <c r="J522" s="27"/>
      <c r="K522" s="53"/>
      <c r="L522" s="27"/>
      <c r="M522" s="53"/>
      <c r="N522" s="27"/>
      <c r="O522" s="53"/>
      <c r="P522" s="27"/>
      <c r="Q522" s="53"/>
      <c r="R522" s="27"/>
      <c r="S522" s="53"/>
      <c r="T522" s="27"/>
      <c r="U522" s="53"/>
    </row>
    <row r="523" spans="6:21" ht="12.75">
      <c r="F523" s="49"/>
      <c r="H523" s="27"/>
      <c r="I523" s="53"/>
      <c r="J523" s="27"/>
      <c r="K523" s="53"/>
      <c r="L523" s="27"/>
      <c r="M523" s="53"/>
      <c r="N523" s="27"/>
      <c r="O523" s="53"/>
      <c r="P523" s="27"/>
      <c r="Q523" s="53"/>
      <c r="R523" s="27"/>
      <c r="S523" s="53"/>
      <c r="T523" s="27"/>
      <c r="U523" s="53"/>
    </row>
    <row r="524" spans="6:21" ht="12.75">
      <c r="F524" s="49"/>
      <c r="H524" s="27"/>
      <c r="I524" s="53"/>
      <c r="J524" s="27"/>
      <c r="K524" s="53"/>
      <c r="L524" s="27"/>
      <c r="M524" s="53"/>
      <c r="N524" s="27"/>
      <c r="O524" s="53"/>
      <c r="P524" s="27"/>
      <c r="Q524" s="53"/>
      <c r="R524" s="27"/>
      <c r="S524" s="53"/>
      <c r="T524" s="27"/>
      <c r="U524" s="53"/>
    </row>
    <row r="525" spans="6:21" ht="12.75">
      <c r="F525" s="49"/>
      <c r="H525" s="27"/>
      <c r="I525" s="53"/>
      <c r="J525" s="27"/>
      <c r="K525" s="53"/>
      <c r="L525" s="27"/>
      <c r="M525" s="53"/>
      <c r="N525" s="27"/>
      <c r="O525" s="53"/>
      <c r="P525" s="27"/>
      <c r="Q525" s="53"/>
      <c r="R525" s="27"/>
      <c r="S525" s="53"/>
      <c r="T525" s="27"/>
      <c r="U525" s="53"/>
    </row>
    <row r="526" spans="6:21" ht="12.75">
      <c r="F526" s="49"/>
      <c r="H526" s="27"/>
      <c r="I526" s="53"/>
      <c r="J526" s="27"/>
      <c r="K526" s="53"/>
      <c r="L526" s="27"/>
      <c r="M526" s="53"/>
      <c r="N526" s="27"/>
      <c r="O526" s="53"/>
      <c r="P526" s="27"/>
      <c r="Q526" s="53"/>
      <c r="R526" s="27"/>
      <c r="S526" s="53"/>
      <c r="T526" s="27"/>
      <c r="U526" s="53"/>
    </row>
    <row r="527" spans="6:21" ht="12.75">
      <c r="F527" s="49"/>
      <c r="H527" s="27"/>
      <c r="I527" s="53"/>
      <c r="J527" s="27"/>
      <c r="K527" s="53"/>
      <c r="L527" s="27"/>
      <c r="M527" s="53"/>
      <c r="N527" s="27"/>
      <c r="O527" s="53"/>
      <c r="P527" s="27"/>
      <c r="Q527" s="53"/>
      <c r="R527" s="27"/>
      <c r="S527" s="53"/>
      <c r="T527" s="27"/>
      <c r="U527" s="53"/>
    </row>
    <row r="528" spans="6:21" ht="12.75">
      <c r="F528" s="49"/>
      <c r="H528" s="27"/>
      <c r="I528" s="53"/>
      <c r="J528" s="27"/>
      <c r="K528" s="53"/>
      <c r="L528" s="27"/>
      <c r="M528" s="53"/>
      <c r="N528" s="27"/>
      <c r="O528" s="53"/>
      <c r="P528" s="27"/>
      <c r="Q528" s="53"/>
      <c r="R528" s="27"/>
      <c r="S528" s="53"/>
      <c r="T528" s="27"/>
      <c r="U528" s="53"/>
    </row>
    <row r="529" spans="6:21" ht="12.75">
      <c r="F529" s="49"/>
      <c r="H529" s="27"/>
      <c r="I529" s="53"/>
      <c r="J529" s="27"/>
      <c r="K529" s="53"/>
      <c r="L529" s="27"/>
      <c r="M529" s="53"/>
      <c r="N529" s="27"/>
      <c r="O529" s="53"/>
      <c r="P529" s="27"/>
      <c r="Q529" s="53"/>
      <c r="R529" s="27"/>
      <c r="S529" s="53"/>
      <c r="T529" s="27"/>
      <c r="U529" s="53"/>
    </row>
    <row r="530" spans="6:21" ht="12.75">
      <c r="F530" s="49"/>
      <c r="H530" s="27"/>
      <c r="I530" s="53"/>
      <c r="J530" s="27"/>
      <c r="K530" s="53"/>
      <c r="L530" s="27"/>
      <c r="M530" s="53"/>
      <c r="N530" s="27"/>
      <c r="O530" s="53"/>
      <c r="P530" s="27"/>
      <c r="Q530" s="53"/>
      <c r="R530" s="27"/>
      <c r="S530" s="53"/>
      <c r="T530" s="27"/>
      <c r="U530" s="53"/>
    </row>
    <row r="531" spans="6:21" ht="12.75">
      <c r="F531" s="49"/>
      <c r="H531" s="27"/>
      <c r="I531" s="53"/>
      <c r="J531" s="27"/>
      <c r="K531" s="53"/>
      <c r="L531" s="27"/>
      <c r="M531" s="53"/>
      <c r="N531" s="27"/>
      <c r="O531" s="53"/>
      <c r="P531" s="27"/>
      <c r="Q531" s="53"/>
      <c r="R531" s="27"/>
      <c r="S531" s="53"/>
      <c r="T531" s="27"/>
      <c r="U531" s="53"/>
    </row>
    <row r="532" spans="6:21" ht="12.75">
      <c r="F532" s="49"/>
      <c r="H532" s="27"/>
      <c r="I532" s="53"/>
      <c r="J532" s="27"/>
      <c r="K532" s="53"/>
      <c r="L532" s="27"/>
      <c r="M532" s="53"/>
      <c r="N532" s="27"/>
      <c r="O532" s="53"/>
      <c r="P532" s="27"/>
      <c r="Q532" s="53"/>
      <c r="R532" s="27"/>
      <c r="S532" s="53"/>
      <c r="T532" s="27"/>
      <c r="U532" s="53"/>
    </row>
    <row r="533" spans="6:21" ht="12.75">
      <c r="F533" s="49"/>
      <c r="H533" s="27"/>
      <c r="I533" s="53"/>
      <c r="J533" s="27"/>
      <c r="K533" s="53"/>
      <c r="L533" s="27"/>
      <c r="M533" s="53"/>
      <c r="N533" s="27"/>
      <c r="O533" s="53"/>
      <c r="P533" s="27"/>
      <c r="Q533" s="53"/>
      <c r="R533" s="27"/>
      <c r="S533" s="53"/>
      <c r="T533" s="27"/>
      <c r="U533" s="53"/>
    </row>
    <row r="534" spans="6:21" ht="12.75">
      <c r="F534" s="49"/>
      <c r="H534" s="27"/>
      <c r="I534" s="53"/>
      <c r="J534" s="27"/>
      <c r="K534" s="53"/>
      <c r="L534" s="27"/>
      <c r="M534" s="53"/>
      <c r="N534" s="27"/>
      <c r="O534" s="53"/>
      <c r="P534" s="27"/>
      <c r="Q534" s="53"/>
      <c r="R534" s="27"/>
      <c r="S534" s="53"/>
      <c r="T534" s="27"/>
      <c r="U534" s="53"/>
    </row>
    <row r="535" spans="6:21" ht="12.75">
      <c r="F535" s="49"/>
      <c r="H535" s="27"/>
      <c r="I535" s="53"/>
      <c r="J535" s="27"/>
      <c r="K535" s="53"/>
      <c r="L535" s="27"/>
      <c r="M535" s="53"/>
      <c r="N535" s="27"/>
      <c r="O535" s="53"/>
      <c r="P535" s="27"/>
      <c r="Q535" s="53"/>
      <c r="R535" s="27"/>
      <c r="S535" s="53"/>
      <c r="T535" s="27"/>
      <c r="U535" s="53"/>
    </row>
    <row r="536" spans="6:21" ht="12.75">
      <c r="F536" s="49"/>
      <c r="H536" s="27"/>
      <c r="I536" s="53"/>
      <c r="J536" s="27"/>
      <c r="K536" s="53"/>
      <c r="L536" s="27"/>
      <c r="M536" s="53"/>
      <c r="N536" s="27"/>
      <c r="O536" s="53"/>
      <c r="P536" s="27"/>
      <c r="Q536" s="53"/>
      <c r="R536" s="27"/>
      <c r="S536" s="53"/>
      <c r="T536" s="27"/>
      <c r="U536" s="53"/>
    </row>
    <row r="537" spans="6:21" ht="12.75">
      <c r="F537" s="49"/>
      <c r="H537" s="27"/>
      <c r="I537" s="53"/>
      <c r="J537" s="27"/>
      <c r="K537" s="53"/>
      <c r="L537" s="27"/>
      <c r="M537" s="53"/>
      <c r="N537" s="27"/>
      <c r="O537" s="53"/>
      <c r="P537" s="27"/>
      <c r="Q537" s="53"/>
      <c r="R537" s="27"/>
      <c r="S537" s="53"/>
      <c r="T537" s="27"/>
      <c r="U537" s="53"/>
    </row>
    <row r="538" spans="6:21" ht="12.75">
      <c r="F538" s="49"/>
      <c r="H538" s="27"/>
      <c r="I538" s="53"/>
      <c r="J538" s="27"/>
      <c r="K538" s="53"/>
      <c r="L538" s="27"/>
      <c r="M538" s="53"/>
      <c r="N538" s="27"/>
      <c r="O538" s="53"/>
      <c r="P538" s="27"/>
      <c r="Q538" s="53"/>
      <c r="R538" s="27"/>
      <c r="S538" s="53"/>
      <c r="T538" s="27"/>
      <c r="U538" s="53"/>
    </row>
    <row r="539" spans="6:21" ht="12.75">
      <c r="F539" s="49"/>
      <c r="H539" s="27"/>
      <c r="I539" s="53"/>
      <c r="J539" s="27"/>
      <c r="K539" s="53"/>
      <c r="L539" s="27"/>
      <c r="M539" s="53"/>
      <c r="N539" s="27"/>
      <c r="O539" s="53"/>
      <c r="P539" s="27"/>
      <c r="Q539" s="53"/>
      <c r="R539" s="27"/>
      <c r="S539" s="53"/>
      <c r="T539" s="27"/>
      <c r="U539" s="53"/>
    </row>
    <row r="540" spans="6:21" ht="12.75">
      <c r="F540" s="49"/>
      <c r="H540" s="27"/>
      <c r="I540" s="53"/>
      <c r="J540" s="27"/>
      <c r="K540" s="53"/>
      <c r="L540" s="27"/>
      <c r="M540" s="53"/>
      <c r="N540" s="27"/>
      <c r="O540" s="53"/>
      <c r="P540" s="27"/>
      <c r="Q540" s="53"/>
      <c r="R540" s="27"/>
      <c r="S540" s="53"/>
      <c r="T540" s="27"/>
      <c r="U540" s="53"/>
    </row>
    <row r="541" spans="6:21" ht="12.75">
      <c r="F541" s="49"/>
      <c r="H541" s="27"/>
      <c r="I541" s="53"/>
      <c r="J541" s="27"/>
      <c r="K541" s="53"/>
      <c r="L541" s="27"/>
      <c r="M541" s="53"/>
      <c r="N541" s="27"/>
      <c r="O541" s="53"/>
      <c r="P541" s="27"/>
      <c r="Q541" s="53"/>
      <c r="R541" s="27"/>
      <c r="S541" s="53"/>
      <c r="T541" s="27"/>
      <c r="U541" s="53"/>
    </row>
    <row r="542" spans="6:21" ht="12.75">
      <c r="F542" s="49"/>
      <c r="H542" s="27"/>
      <c r="I542" s="53"/>
      <c r="J542" s="27"/>
      <c r="K542" s="53"/>
      <c r="L542" s="27"/>
      <c r="M542" s="53"/>
      <c r="N542" s="27"/>
      <c r="O542" s="53"/>
      <c r="P542" s="27"/>
      <c r="Q542" s="53"/>
      <c r="R542" s="27"/>
      <c r="S542" s="53"/>
      <c r="T542" s="27"/>
      <c r="U542" s="53"/>
    </row>
    <row r="543" spans="6:21" ht="12.75">
      <c r="F543" s="49"/>
      <c r="H543" s="27"/>
      <c r="I543" s="53"/>
      <c r="J543" s="27"/>
      <c r="K543" s="53"/>
      <c r="L543" s="27"/>
      <c r="M543" s="53"/>
      <c r="N543" s="27"/>
      <c r="O543" s="53"/>
      <c r="P543" s="27"/>
      <c r="Q543" s="53"/>
      <c r="R543" s="27"/>
      <c r="S543" s="53"/>
      <c r="T543" s="27"/>
      <c r="U543" s="53"/>
    </row>
    <row r="544" spans="6:21" ht="12.75">
      <c r="F544" s="49"/>
      <c r="H544" s="27"/>
      <c r="I544" s="53"/>
      <c r="J544" s="27"/>
      <c r="K544" s="53"/>
      <c r="L544" s="27"/>
      <c r="M544" s="53"/>
      <c r="N544" s="27"/>
      <c r="O544" s="53"/>
      <c r="P544" s="27"/>
      <c r="Q544" s="53"/>
      <c r="R544" s="27"/>
      <c r="S544" s="53"/>
      <c r="T544" s="27"/>
      <c r="U544" s="53"/>
    </row>
    <row r="545" spans="6:21" ht="12.75">
      <c r="F545" s="49"/>
      <c r="H545" s="27"/>
      <c r="I545" s="53"/>
      <c r="J545" s="27"/>
      <c r="K545" s="53"/>
      <c r="L545" s="27"/>
      <c r="M545" s="53"/>
      <c r="N545" s="27"/>
      <c r="O545" s="53"/>
      <c r="P545" s="27"/>
      <c r="Q545" s="53"/>
      <c r="R545" s="27"/>
      <c r="S545" s="53"/>
      <c r="T545" s="27"/>
      <c r="U545" s="53"/>
    </row>
    <row r="546" spans="6:21" ht="12.75">
      <c r="F546" s="49"/>
      <c r="H546" s="27"/>
      <c r="I546" s="53"/>
      <c r="J546" s="27"/>
      <c r="K546" s="53"/>
      <c r="L546" s="27"/>
      <c r="M546" s="53"/>
      <c r="N546" s="27"/>
      <c r="O546" s="53"/>
      <c r="P546" s="27"/>
      <c r="Q546" s="53"/>
      <c r="R546" s="27"/>
      <c r="S546" s="53"/>
      <c r="T546" s="27"/>
      <c r="U546" s="53"/>
    </row>
    <row r="547" spans="6:21" ht="12.75">
      <c r="F547" s="49"/>
      <c r="H547" s="27"/>
      <c r="I547" s="53"/>
      <c r="J547" s="27"/>
      <c r="K547" s="53"/>
      <c r="L547" s="27"/>
      <c r="M547" s="53"/>
      <c r="N547" s="27"/>
      <c r="O547" s="53"/>
      <c r="P547" s="27"/>
      <c r="Q547" s="53"/>
      <c r="R547" s="27"/>
      <c r="S547" s="53"/>
      <c r="T547" s="27"/>
      <c r="U547" s="53"/>
    </row>
    <row r="548" spans="6:21" ht="12.75">
      <c r="F548" s="49"/>
      <c r="H548" s="27"/>
      <c r="I548" s="53"/>
      <c r="J548" s="27"/>
      <c r="K548" s="53"/>
      <c r="L548" s="27"/>
      <c r="M548" s="53"/>
      <c r="N548" s="27"/>
      <c r="O548" s="53"/>
      <c r="P548" s="27"/>
      <c r="Q548" s="53"/>
      <c r="R548" s="27"/>
      <c r="S548" s="53"/>
      <c r="T548" s="27"/>
      <c r="U548" s="53"/>
    </row>
    <row r="549" spans="6:21" ht="12.75">
      <c r="F549" s="49"/>
      <c r="H549" s="27"/>
      <c r="I549" s="53"/>
      <c r="J549" s="27"/>
      <c r="K549" s="53"/>
      <c r="L549" s="27"/>
      <c r="M549" s="53"/>
      <c r="N549" s="27"/>
      <c r="O549" s="53"/>
      <c r="P549" s="27"/>
      <c r="Q549" s="53"/>
      <c r="R549" s="27"/>
      <c r="S549" s="53"/>
      <c r="T549" s="27"/>
      <c r="U549" s="53"/>
    </row>
    <row r="550" spans="6:21" ht="12.75">
      <c r="F550" s="49"/>
      <c r="H550" s="27"/>
      <c r="I550" s="53"/>
      <c r="J550" s="27"/>
      <c r="K550" s="53"/>
      <c r="L550" s="27"/>
      <c r="M550" s="53"/>
      <c r="N550" s="27"/>
      <c r="O550" s="53"/>
      <c r="P550" s="27"/>
      <c r="Q550" s="53"/>
      <c r="R550" s="27"/>
      <c r="S550" s="53"/>
      <c r="T550" s="27"/>
      <c r="U550" s="53"/>
    </row>
    <row r="551" spans="6:21" ht="12.75">
      <c r="F551" s="49"/>
      <c r="H551" s="27"/>
      <c r="I551" s="53"/>
      <c r="J551" s="27"/>
      <c r="K551" s="53"/>
      <c r="L551" s="27"/>
      <c r="M551" s="53"/>
      <c r="N551" s="27"/>
      <c r="O551" s="53"/>
      <c r="P551" s="27"/>
      <c r="Q551" s="53"/>
      <c r="R551" s="27"/>
      <c r="S551" s="53"/>
      <c r="T551" s="27"/>
      <c r="U551" s="53"/>
    </row>
    <row r="552" spans="6:21" ht="12.75">
      <c r="F552" s="49"/>
      <c r="H552" s="27"/>
      <c r="I552" s="53"/>
      <c r="J552" s="27"/>
      <c r="K552" s="53"/>
      <c r="L552" s="27"/>
      <c r="M552" s="53"/>
      <c r="N552" s="27"/>
      <c r="O552" s="53"/>
      <c r="P552" s="27"/>
      <c r="Q552" s="53"/>
      <c r="R552" s="27"/>
      <c r="S552" s="53"/>
      <c r="T552" s="27"/>
      <c r="U552" s="53"/>
    </row>
    <row r="553" spans="6:21" ht="12.75">
      <c r="F553" s="49"/>
      <c r="H553" s="27"/>
      <c r="I553" s="53"/>
      <c r="J553" s="27"/>
      <c r="K553" s="53"/>
      <c r="L553" s="27"/>
      <c r="M553" s="53"/>
      <c r="N553" s="27"/>
      <c r="O553" s="53"/>
      <c r="P553" s="27"/>
      <c r="Q553" s="53"/>
      <c r="R553" s="27"/>
      <c r="S553" s="53"/>
      <c r="T553" s="27"/>
      <c r="U553" s="53"/>
    </row>
    <row r="554" spans="6:21" ht="12.75">
      <c r="F554" s="49"/>
      <c r="H554" s="27"/>
      <c r="I554" s="53"/>
      <c r="J554" s="27"/>
      <c r="K554" s="53"/>
      <c r="L554" s="27"/>
      <c r="M554" s="53"/>
      <c r="N554" s="27"/>
      <c r="O554" s="53"/>
      <c r="P554" s="27"/>
      <c r="Q554" s="53"/>
      <c r="R554" s="27"/>
      <c r="S554" s="53"/>
      <c r="T554" s="27"/>
      <c r="U554" s="53"/>
    </row>
    <row r="555" spans="6:21" ht="12.75">
      <c r="F555" s="49"/>
      <c r="H555" s="27"/>
      <c r="I555" s="53"/>
      <c r="J555" s="27"/>
      <c r="K555" s="53"/>
      <c r="L555" s="27"/>
      <c r="M555" s="53"/>
      <c r="N555" s="27"/>
      <c r="O555" s="53"/>
      <c r="P555" s="27"/>
      <c r="Q555" s="53"/>
      <c r="R555" s="27"/>
      <c r="S555" s="53"/>
      <c r="T555" s="27"/>
      <c r="U555" s="53"/>
    </row>
    <row r="556" spans="6:21" ht="12.75">
      <c r="F556" s="49"/>
      <c r="H556" s="27"/>
      <c r="I556" s="53"/>
      <c r="J556" s="27"/>
      <c r="K556" s="53"/>
      <c r="L556" s="27"/>
      <c r="M556" s="53"/>
      <c r="N556" s="27"/>
      <c r="O556" s="53"/>
      <c r="P556" s="27"/>
      <c r="Q556" s="53"/>
      <c r="R556" s="27"/>
      <c r="S556" s="53"/>
      <c r="T556" s="27"/>
      <c r="U556" s="53"/>
    </row>
    <row r="557" spans="6:21" ht="12.75">
      <c r="F557" s="49"/>
      <c r="H557" s="27"/>
      <c r="I557" s="53"/>
      <c r="J557" s="27"/>
      <c r="K557" s="53"/>
      <c r="L557" s="27"/>
      <c r="M557" s="53"/>
      <c r="N557" s="27"/>
      <c r="O557" s="53"/>
      <c r="P557" s="27"/>
      <c r="Q557" s="53"/>
      <c r="R557" s="27"/>
      <c r="S557" s="53"/>
      <c r="T557" s="27"/>
      <c r="U557" s="53"/>
    </row>
    <row r="558" spans="6:21" ht="12.75">
      <c r="F558" s="49"/>
      <c r="H558" s="27"/>
      <c r="I558" s="53"/>
      <c r="J558" s="27"/>
      <c r="K558" s="53"/>
      <c r="L558" s="27"/>
      <c r="M558" s="53"/>
      <c r="N558" s="27"/>
      <c r="O558" s="53"/>
      <c r="P558" s="27"/>
      <c r="Q558" s="53"/>
      <c r="R558" s="27"/>
      <c r="S558" s="53"/>
      <c r="T558" s="27"/>
      <c r="U558" s="53"/>
    </row>
    <row r="559" spans="6:21" ht="12.75">
      <c r="F559" s="49"/>
      <c r="H559" s="27"/>
      <c r="I559" s="53"/>
      <c r="J559" s="27"/>
      <c r="K559" s="53"/>
      <c r="L559" s="27"/>
      <c r="M559" s="53"/>
      <c r="N559" s="27"/>
      <c r="O559" s="53"/>
      <c r="P559" s="27"/>
      <c r="Q559" s="53"/>
      <c r="R559" s="27"/>
      <c r="S559" s="53"/>
      <c r="T559" s="27"/>
      <c r="U559" s="53"/>
    </row>
    <row r="560" spans="6:21" ht="12.75">
      <c r="F560" s="49"/>
      <c r="H560" s="27"/>
      <c r="I560" s="53"/>
      <c r="J560" s="27"/>
      <c r="K560" s="53"/>
      <c r="L560" s="27"/>
      <c r="M560" s="53"/>
      <c r="N560" s="27"/>
      <c r="O560" s="53"/>
      <c r="P560" s="27"/>
      <c r="Q560" s="53"/>
      <c r="R560" s="27"/>
      <c r="S560" s="53"/>
      <c r="T560" s="27"/>
      <c r="U560" s="53"/>
    </row>
    <row r="561" spans="6:21" ht="12.75">
      <c r="F561" s="49"/>
      <c r="H561" s="27"/>
      <c r="I561" s="53"/>
      <c r="J561" s="27"/>
      <c r="K561" s="53"/>
      <c r="L561" s="27"/>
      <c r="M561" s="53"/>
      <c r="N561" s="27"/>
      <c r="O561" s="53"/>
      <c r="P561" s="27"/>
      <c r="Q561" s="53"/>
      <c r="R561" s="27"/>
      <c r="S561" s="53"/>
      <c r="T561" s="27"/>
      <c r="U561" s="53"/>
    </row>
    <row r="562" spans="6:21" ht="12.75">
      <c r="F562" s="49"/>
      <c r="H562" s="27"/>
      <c r="I562" s="53"/>
      <c r="J562" s="27"/>
      <c r="K562" s="53"/>
      <c r="L562" s="27"/>
      <c r="M562" s="53"/>
      <c r="N562" s="27"/>
      <c r="O562" s="53"/>
      <c r="P562" s="27"/>
      <c r="Q562" s="53"/>
      <c r="R562" s="27"/>
      <c r="S562" s="53"/>
      <c r="T562" s="27"/>
      <c r="U562" s="53"/>
    </row>
    <row r="563" spans="6:21" ht="12.75">
      <c r="F563" s="49"/>
      <c r="H563" s="27"/>
      <c r="I563" s="53"/>
      <c r="J563" s="27"/>
      <c r="K563" s="53"/>
      <c r="L563" s="27"/>
      <c r="M563" s="53"/>
      <c r="N563" s="27"/>
      <c r="O563" s="53"/>
      <c r="P563" s="27"/>
      <c r="Q563" s="53"/>
      <c r="R563" s="27"/>
      <c r="S563" s="53"/>
      <c r="T563" s="27"/>
      <c r="U563" s="53"/>
    </row>
    <row r="564" spans="6:21" ht="12.75">
      <c r="F564" s="49"/>
      <c r="H564" s="27"/>
      <c r="I564" s="53"/>
      <c r="J564" s="27"/>
      <c r="K564" s="53"/>
      <c r="L564" s="27"/>
      <c r="M564" s="53"/>
      <c r="N564" s="27"/>
      <c r="O564" s="53"/>
      <c r="P564" s="27"/>
      <c r="Q564" s="53"/>
      <c r="R564" s="27"/>
      <c r="S564" s="53"/>
      <c r="T564" s="27"/>
      <c r="U564" s="53"/>
    </row>
    <row r="565" spans="6:21" ht="12.75">
      <c r="F565" s="49"/>
      <c r="H565" s="27"/>
      <c r="I565" s="53"/>
      <c r="J565" s="27"/>
      <c r="K565" s="53"/>
      <c r="L565" s="27"/>
      <c r="M565" s="53"/>
      <c r="N565" s="27"/>
      <c r="O565" s="53"/>
      <c r="P565" s="27"/>
      <c r="Q565" s="53"/>
      <c r="R565" s="27"/>
      <c r="S565" s="53"/>
      <c r="T565" s="27"/>
      <c r="U565" s="53"/>
    </row>
    <row r="566" spans="6:21" ht="12.75">
      <c r="F566" s="49"/>
      <c r="H566" s="27"/>
      <c r="I566" s="53"/>
      <c r="J566" s="27"/>
      <c r="K566" s="53"/>
      <c r="L566" s="27"/>
      <c r="M566" s="53"/>
      <c r="N566" s="27"/>
      <c r="O566" s="53"/>
      <c r="P566" s="27"/>
      <c r="Q566" s="53"/>
      <c r="R566" s="27"/>
      <c r="S566" s="53"/>
      <c r="T566" s="27"/>
      <c r="U566" s="53"/>
    </row>
    <row r="567" spans="6:21" ht="12.75">
      <c r="F567" s="49"/>
      <c r="H567" s="27"/>
      <c r="I567" s="53"/>
      <c r="J567" s="27"/>
      <c r="K567" s="53"/>
      <c r="L567" s="27"/>
      <c r="M567" s="53"/>
      <c r="N567" s="27"/>
      <c r="O567" s="53"/>
      <c r="P567" s="27"/>
      <c r="Q567" s="53"/>
      <c r="R567" s="27"/>
      <c r="S567" s="53"/>
      <c r="T567" s="27"/>
      <c r="U567" s="53"/>
    </row>
    <row r="568" spans="6:21" ht="12.75">
      <c r="F568" s="49"/>
      <c r="H568" s="27"/>
      <c r="I568" s="53"/>
      <c r="J568" s="27"/>
      <c r="K568" s="53"/>
      <c r="L568" s="27"/>
      <c r="M568" s="53"/>
      <c r="N568" s="27"/>
      <c r="O568" s="53"/>
      <c r="P568" s="27"/>
      <c r="Q568" s="53"/>
      <c r="R568" s="27"/>
      <c r="S568" s="53"/>
      <c r="T568" s="27"/>
      <c r="U568" s="53"/>
    </row>
    <row r="569" spans="6:21" ht="12.75">
      <c r="F569" s="49"/>
      <c r="H569" s="27"/>
      <c r="I569" s="53"/>
      <c r="J569" s="27"/>
      <c r="K569" s="53"/>
      <c r="L569" s="27"/>
      <c r="M569" s="53"/>
      <c r="N569" s="27"/>
      <c r="O569" s="53"/>
      <c r="P569" s="27"/>
      <c r="Q569" s="53"/>
      <c r="R569" s="27"/>
      <c r="S569" s="53"/>
      <c r="T569" s="27"/>
      <c r="U569" s="53"/>
    </row>
    <row r="570" spans="6:21" ht="12.75">
      <c r="F570" s="49"/>
      <c r="H570" s="27"/>
      <c r="I570" s="53"/>
      <c r="J570" s="27"/>
      <c r="K570" s="53"/>
      <c r="L570" s="27"/>
      <c r="M570" s="53"/>
      <c r="N570" s="27"/>
      <c r="O570" s="53"/>
      <c r="P570" s="27"/>
      <c r="Q570" s="53"/>
      <c r="R570" s="27"/>
      <c r="S570" s="53"/>
      <c r="T570" s="27"/>
      <c r="U570" s="53"/>
    </row>
    <row r="571" spans="6:21" ht="12.75">
      <c r="F571" s="49"/>
      <c r="H571" s="27"/>
      <c r="I571" s="53"/>
      <c r="J571" s="27"/>
      <c r="K571" s="53"/>
      <c r="L571" s="27"/>
      <c r="M571" s="53"/>
      <c r="N571" s="27"/>
      <c r="O571" s="53"/>
      <c r="P571" s="27"/>
      <c r="Q571" s="53"/>
      <c r="R571" s="27"/>
      <c r="S571" s="53"/>
      <c r="T571" s="27"/>
      <c r="U571" s="53"/>
    </row>
    <row r="572" spans="6:21" ht="12.75">
      <c r="F572" s="49"/>
      <c r="H572" s="27"/>
      <c r="I572" s="53"/>
      <c r="J572" s="27"/>
      <c r="K572" s="53"/>
      <c r="L572" s="27"/>
      <c r="M572" s="53"/>
      <c r="N572" s="27"/>
      <c r="O572" s="53"/>
      <c r="P572" s="27"/>
      <c r="Q572" s="53"/>
      <c r="R572" s="27"/>
      <c r="S572" s="53"/>
      <c r="T572" s="27"/>
      <c r="U572" s="53"/>
    </row>
    <row r="573" spans="6:21" ht="12.75">
      <c r="F573" s="49"/>
      <c r="H573" s="27"/>
      <c r="I573" s="53"/>
      <c r="J573" s="27"/>
      <c r="K573" s="53"/>
      <c r="L573" s="27"/>
      <c r="M573" s="53"/>
      <c r="N573" s="27"/>
      <c r="O573" s="53"/>
      <c r="P573" s="27"/>
      <c r="Q573" s="53"/>
      <c r="R573" s="27"/>
      <c r="S573" s="53"/>
      <c r="T573" s="27"/>
      <c r="U573" s="53"/>
    </row>
    <row r="574" spans="6:21" ht="12.75">
      <c r="F574" s="49"/>
      <c r="H574" s="27"/>
      <c r="I574" s="53"/>
      <c r="J574" s="27"/>
      <c r="K574" s="53"/>
      <c r="L574" s="27"/>
      <c r="M574" s="53"/>
      <c r="N574" s="27"/>
      <c r="O574" s="53"/>
      <c r="P574" s="27"/>
      <c r="Q574" s="53"/>
      <c r="R574" s="27"/>
      <c r="S574" s="53"/>
      <c r="T574" s="27"/>
      <c r="U574" s="53"/>
    </row>
    <row r="575" spans="6:21" ht="12.75">
      <c r="F575" s="49"/>
      <c r="H575" s="27"/>
      <c r="I575" s="53"/>
      <c r="J575" s="27"/>
      <c r="K575" s="53"/>
      <c r="L575" s="27"/>
      <c r="M575" s="53"/>
      <c r="N575" s="27"/>
      <c r="O575" s="53"/>
      <c r="P575" s="27"/>
      <c r="Q575" s="53"/>
      <c r="R575" s="27"/>
      <c r="S575" s="53"/>
      <c r="T575" s="27"/>
      <c r="U575" s="53"/>
    </row>
    <row r="576" spans="6:21" ht="12.75">
      <c r="F576" s="49"/>
      <c r="H576" s="27"/>
      <c r="I576" s="53"/>
      <c r="J576" s="27"/>
      <c r="K576" s="53"/>
      <c r="L576" s="27"/>
      <c r="M576" s="53"/>
      <c r="N576" s="27"/>
      <c r="O576" s="53"/>
      <c r="P576" s="27"/>
      <c r="Q576" s="53"/>
      <c r="R576" s="27"/>
      <c r="S576" s="53"/>
      <c r="T576" s="27"/>
      <c r="U576" s="53"/>
    </row>
    <row r="577" spans="6:21" ht="12.75">
      <c r="F577" s="49"/>
      <c r="H577" s="27"/>
      <c r="I577" s="53"/>
      <c r="J577" s="27"/>
      <c r="K577" s="53"/>
      <c r="L577" s="27"/>
      <c r="M577" s="53"/>
      <c r="N577" s="27"/>
      <c r="O577" s="53"/>
      <c r="P577" s="27"/>
      <c r="Q577" s="53"/>
      <c r="R577" s="27"/>
      <c r="S577" s="53"/>
      <c r="T577" s="27"/>
      <c r="U577" s="53"/>
    </row>
    <row r="578" spans="6:21" ht="12.75">
      <c r="F578" s="49"/>
      <c r="H578" s="27"/>
      <c r="I578" s="53"/>
      <c r="J578" s="27"/>
      <c r="K578" s="53"/>
      <c r="L578" s="27"/>
      <c r="M578" s="53"/>
      <c r="N578" s="27"/>
      <c r="O578" s="53"/>
      <c r="P578" s="27"/>
      <c r="Q578" s="53"/>
      <c r="R578" s="27"/>
      <c r="S578" s="53"/>
      <c r="T578" s="27"/>
      <c r="U578" s="53"/>
    </row>
    <row r="579" spans="6:21" ht="12.75">
      <c r="F579" s="49"/>
      <c r="H579" s="27"/>
      <c r="I579" s="53"/>
      <c r="J579" s="27"/>
      <c r="K579" s="53"/>
      <c r="L579" s="27"/>
      <c r="M579" s="53"/>
      <c r="N579" s="27"/>
      <c r="O579" s="53"/>
      <c r="P579" s="27"/>
      <c r="Q579" s="53"/>
      <c r="R579" s="27"/>
      <c r="S579" s="53"/>
      <c r="T579" s="27"/>
      <c r="U579" s="53"/>
    </row>
    <row r="580" spans="6:21" ht="12.75">
      <c r="F580" s="49"/>
      <c r="H580" s="27"/>
      <c r="I580" s="53"/>
      <c r="J580" s="27"/>
      <c r="K580" s="53"/>
      <c r="L580" s="27"/>
      <c r="M580" s="53"/>
      <c r="N580" s="27"/>
      <c r="O580" s="53"/>
      <c r="P580" s="27"/>
      <c r="Q580" s="53"/>
      <c r="R580" s="27"/>
      <c r="S580" s="53"/>
      <c r="T580" s="27"/>
      <c r="U580" s="53"/>
    </row>
    <row r="581" spans="6:21" ht="12.75">
      <c r="F581" s="49"/>
      <c r="H581" s="27"/>
      <c r="I581" s="53"/>
      <c r="J581" s="27"/>
      <c r="K581" s="53"/>
      <c r="L581" s="27"/>
      <c r="M581" s="53"/>
      <c r="N581" s="27"/>
      <c r="O581" s="53"/>
      <c r="P581" s="27"/>
      <c r="Q581" s="53"/>
      <c r="R581" s="27"/>
      <c r="S581" s="53"/>
      <c r="T581" s="27"/>
      <c r="U581" s="53"/>
    </row>
  </sheetData>
  <sheetProtection/>
  <mergeCells count="23">
    <mergeCell ref="A29:A34"/>
    <mergeCell ref="A35:A41"/>
    <mergeCell ref="B5:B10"/>
    <mergeCell ref="A5:A10"/>
    <mergeCell ref="B23:B28"/>
    <mergeCell ref="B29:B34"/>
    <mergeCell ref="B35:B41"/>
    <mergeCell ref="A11:A16"/>
    <mergeCell ref="A17:A22"/>
    <mergeCell ref="A23:A28"/>
    <mergeCell ref="J2:K2"/>
    <mergeCell ref="B11:B16"/>
    <mergeCell ref="B17:B22"/>
    <mergeCell ref="A1:AB1"/>
    <mergeCell ref="T2:U2"/>
    <mergeCell ref="V2:W2"/>
    <mergeCell ref="X2:Y2"/>
    <mergeCell ref="N2:O2"/>
    <mergeCell ref="Z2:AA2"/>
    <mergeCell ref="L2:M2"/>
    <mergeCell ref="R2:S2"/>
    <mergeCell ref="P2:Q2"/>
    <mergeCell ref="H2:I2"/>
  </mergeCells>
  <printOptions/>
  <pageMargins left="0.35433070866141736" right="0.35433070866141736" top="0.35433070866141736" bottom="0.1968503937007874" header="0.2362204724409449" footer="0"/>
  <pageSetup fitToHeight="1" fitToWidth="1" horizontalDpi="300" verticalDpi="3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7" sqref="B7"/>
    </sheetView>
  </sheetViews>
  <sheetFormatPr defaultColWidth="12" defaultRowHeight="12.75"/>
  <cols>
    <col min="1" max="1" width="17.16015625" style="0" bestFit="1" customWidth="1"/>
    <col min="2" max="2" width="19.16015625" style="0" bestFit="1" customWidth="1"/>
  </cols>
  <sheetData>
    <row r="1" spans="1:2" ht="15.75">
      <c r="A1" s="99" t="s">
        <v>118</v>
      </c>
      <c r="B1" s="99"/>
    </row>
    <row r="2" spans="1:2" ht="15">
      <c r="A2" s="5" t="s">
        <v>50</v>
      </c>
      <c r="B2" s="192" t="s">
        <v>120</v>
      </c>
    </row>
    <row r="3" spans="1:2" ht="15">
      <c r="A3" s="5" t="s">
        <v>51</v>
      </c>
      <c r="B3" s="192"/>
    </row>
    <row r="4" spans="1:2" ht="15">
      <c r="A4" s="5"/>
      <c r="B4" s="5"/>
    </row>
    <row r="5" spans="1:2" ht="15">
      <c r="A5" s="5" t="s">
        <v>52</v>
      </c>
      <c r="B5" s="192" t="s">
        <v>121</v>
      </c>
    </row>
    <row r="6" spans="1:2" ht="15">
      <c r="A6" s="5" t="s">
        <v>53</v>
      </c>
      <c r="B6" s="192"/>
    </row>
    <row r="7" spans="1:2" ht="15">
      <c r="A7" s="5"/>
      <c r="B7" s="5" t="s">
        <v>124</v>
      </c>
    </row>
    <row r="8" spans="1:2" ht="15">
      <c r="A8" s="5" t="s">
        <v>54</v>
      </c>
      <c r="B8" s="192" t="s">
        <v>122</v>
      </c>
    </row>
    <row r="9" spans="1:2" ht="15">
      <c r="A9" s="5" t="s">
        <v>55</v>
      </c>
      <c r="B9" s="192"/>
    </row>
    <row r="10" spans="1:2" ht="15">
      <c r="A10" s="5"/>
      <c r="B10" s="5"/>
    </row>
    <row r="11" spans="1:2" ht="15.75">
      <c r="A11" s="99" t="s">
        <v>119</v>
      </c>
      <c r="B11" s="5"/>
    </row>
    <row r="12" spans="1:2" ht="15">
      <c r="A12" s="5" t="s">
        <v>50</v>
      </c>
      <c r="B12" s="192" t="s">
        <v>123</v>
      </c>
    </row>
    <row r="13" spans="1:2" ht="15">
      <c r="A13" s="5" t="s">
        <v>51</v>
      </c>
      <c r="B13" s="192"/>
    </row>
    <row r="14" spans="1:2" ht="15.75">
      <c r="A14" s="99"/>
      <c r="B14" s="99"/>
    </row>
    <row r="15" spans="1:2" ht="15">
      <c r="A15" s="5" t="s">
        <v>116</v>
      </c>
      <c r="B15" s="192" t="s">
        <v>98</v>
      </c>
    </row>
    <row r="16" spans="1:2" ht="15">
      <c r="A16" s="5" t="s">
        <v>117</v>
      </c>
      <c r="B16" s="192"/>
    </row>
    <row r="17" spans="1:2" ht="15">
      <c r="A17" s="5"/>
      <c r="B17" s="5"/>
    </row>
    <row r="18" spans="1:2" ht="15">
      <c r="A18" s="5"/>
      <c r="B18" s="5"/>
    </row>
    <row r="20" spans="1:2" ht="15">
      <c r="A20" s="5"/>
      <c r="B20" s="192"/>
    </row>
    <row r="21" spans="1:2" ht="15">
      <c r="A21" s="5"/>
      <c r="B21" s="192"/>
    </row>
  </sheetData>
  <sheetProtection/>
  <mergeCells count="6">
    <mergeCell ref="B20:B21"/>
    <mergeCell ref="B15:B16"/>
    <mergeCell ref="B2:B3"/>
    <mergeCell ref="B5:B6"/>
    <mergeCell ref="B8:B9"/>
    <mergeCell ref="B12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Y29" sqref="Y29"/>
    </sheetView>
  </sheetViews>
  <sheetFormatPr defaultColWidth="10.66015625" defaultRowHeight="12.75"/>
  <cols>
    <col min="1" max="1" width="5.16015625" style="29" bestFit="1" customWidth="1"/>
    <col min="2" max="2" width="28" style="29" bestFit="1" customWidth="1"/>
    <col min="3" max="3" width="15.83203125" style="29" bestFit="1" customWidth="1"/>
    <col min="4" max="33" width="5.16015625" style="29" customWidth="1"/>
    <col min="34" max="42" width="4.5" style="29" customWidth="1"/>
    <col min="43" max="16384" width="10.66015625" style="29" customWidth="1"/>
  </cols>
  <sheetData>
    <row r="1" spans="1:33" s="98" customFormat="1" ht="12.75">
      <c r="A1" s="98" t="s">
        <v>1</v>
      </c>
      <c r="B1" s="98" t="s">
        <v>15</v>
      </c>
      <c r="C1" s="98" t="s">
        <v>31</v>
      </c>
      <c r="D1" s="199" t="str">
        <f>C11</f>
        <v>Kamp 01</v>
      </c>
      <c r="E1" s="199"/>
      <c r="F1" s="199"/>
      <c r="G1" s="199" t="str">
        <f>C12</f>
        <v>Kamp 02</v>
      </c>
      <c r="H1" s="199"/>
      <c r="I1" s="199"/>
      <c r="J1" s="199" t="str">
        <f>C13</f>
        <v>Kamp 03</v>
      </c>
      <c r="K1" s="199"/>
      <c r="L1" s="199"/>
      <c r="M1" s="199" t="str">
        <f>C14</f>
        <v>Kamp 04</v>
      </c>
      <c r="N1" s="199"/>
      <c r="O1" s="199"/>
      <c r="P1" s="199" t="str">
        <f>C15</f>
        <v>Kamp 05</v>
      </c>
      <c r="Q1" s="199"/>
      <c r="R1" s="199"/>
      <c r="S1" s="199" t="str">
        <f>C16</f>
        <v>Kamp 06</v>
      </c>
      <c r="T1" s="199"/>
      <c r="U1" s="199"/>
      <c r="V1" s="199" t="str">
        <f>C17</f>
        <v>Kamp 07</v>
      </c>
      <c r="W1" s="199"/>
      <c r="X1" s="199"/>
      <c r="Y1" s="199" t="str">
        <f>C18</f>
        <v>Kamp 08</v>
      </c>
      <c r="Z1" s="199"/>
      <c r="AA1" s="199"/>
      <c r="AB1" s="199" t="str">
        <f>C19</f>
        <v>Kamp 09</v>
      </c>
      <c r="AC1" s="199"/>
      <c r="AD1" s="199"/>
      <c r="AE1" s="199" t="str">
        <f>C20</f>
        <v>Kamp 10</v>
      </c>
      <c r="AF1" s="199"/>
      <c r="AG1" s="199"/>
    </row>
    <row r="2" spans="1:33" ht="12.75">
      <c r="A2" s="98">
        <v>1</v>
      </c>
      <c r="B2" s="65" t="s">
        <v>57</v>
      </c>
      <c r="C2" s="65" t="s">
        <v>58</v>
      </c>
      <c r="D2" s="29">
        <f aca="true" t="shared" si="0" ref="D2:D7">INDEX(Kamp01,HLOOKUP($A2,KampTab01,ROWS(KampTab01)-1,FALSE),C_V+HLOOKUP($A2,KampTab01,ROWS(KampTab01),FALSE))</f>
        <v>16</v>
      </c>
      <c r="E2" s="29">
        <f aca="true" t="shared" si="1" ref="E2:E7">INDEX(Kamp01,HLOOKUP($A2,KampTab01,ROWS(KampTab01)-1,FALSE),C_I+HLOOKUP($A2,KampTab01,ROWS(KampTab01),FALSE))</f>
        <v>46</v>
      </c>
      <c r="F2" s="29">
        <f aca="true" t="shared" si="2" ref="F2:F7">INDEX(Kamp01,HLOOKUP($A2,KampTab01,ROWS(KampTab01)-1,FALSE),C_I-HLOOKUP($A2,KampTab01,ROWS(KampTab01),FALSE))</f>
        <v>39</v>
      </c>
      <c r="G2" s="29">
        <f aca="true" t="shared" si="3" ref="G2:G7">INDEX(Kamp02,HLOOKUP($A2,KampTab02,ROWS(KampTab02)-1,FALSE),C_V+HLOOKUP($A2,KampTab02,ROWS(KampTab02),FALSE))</f>
        <v>18</v>
      </c>
      <c r="H2" s="29">
        <f aca="true" t="shared" si="4" ref="H2:H7">INDEX(Kamp02,HLOOKUP($A2,KampTab02,ROWS(KampTab02)-1,FALSE),C_I+HLOOKUP($A2,KampTab02,ROWS(KampTab02),FALSE))</f>
        <v>65</v>
      </c>
      <c r="I2" s="29">
        <f aca="true" t="shared" si="5" ref="I2:I7">INDEX(Kamp02,HLOOKUP($A2,KampTab02,ROWS(KampTab02)-1,FALSE),C_I-HLOOKUP($A2,KampTab02,ROWS(KampTab02),FALSE))</f>
        <v>51</v>
      </c>
      <c r="J2" s="29">
        <f aca="true" t="shared" si="6" ref="J2:J7">INDEX(Kamp03,HLOOKUP($A2,KampTab03,ROWS(KampTab03)-1,FALSE),C_V+HLOOKUP($A2,KampTab03,ROWS(KampTab03),FALSE))</f>
        <v>21</v>
      </c>
      <c r="K2" s="29">
        <f aca="true" t="shared" si="7" ref="K2:K7">INDEX(Kamp03,HLOOKUP($A2,KampTab03,ROWS(KampTab03)-1,FALSE),C_I+HLOOKUP($A2,KampTab03,ROWS(KampTab03),FALSE))</f>
        <v>59</v>
      </c>
      <c r="L2" s="29">
        <f aca="true" t="shared" si="8" ref="L2:L7">INDEX(Kamp03,HLOOKUP($A2,KampTab03,ROWS(KampTab03)-1,FALSE),C_I-HLOOKUP($A2,KampTab03,ROWS(KampTab03),FALSE))</f>
        <v>29</v>
      </c>
      <c r="M2" s="29">
        <f aca="true" t="shared" si="9" ref="M2:M7">INDEX(Kamp04,HLOOKUP($A2,KampTab04,ROWS(KampTab04)-1,FALSE),C_V+HLOOKUP($A2,KampTab04,ROWS(KampTab04),FALSE))</f>
        <v>11</v>
      </c>
      <c r="N2" s="29">
        <f aca="true" t="shared" si="10" ref="N2:N7">INDEX(Kamp04,HLOOKUP($A2,KampTab04,ROWS(KampTab04)-1,FALSE),C_I+HLOOKUP($A2,KampTab04,ROWS(KampTab04),FALSE))</f>
        <v>48</v>
      </c>
      <c r="O2" s="29">
        <f aca="true" t="shared" si="11" ref="O2:O7">INDEX(Kamp04,HLOOKUP($A2,KampTab04,ROWS(KampTab04)-1,FALSE),C_I-HLOOKUP($A2,KampTab04,ROWS(KampTab04),FALSE))</f>
        <v>69</v>
      </c>
      <c r="P2" s="29">
        <f aca="true" t="shared" si="12" ref="P2:P7">INDEX(Kamp05,HLOOKUP($A2,KampTab05,ROWS(KampTab05)-1,FALSE),C_V+HLOOKUP($A2,KampTab05,ROWS(KampTab05),FALSE))</f>
        <v>7</v>
      </c>
      <c r="Q2" s="29">
        <f aca="true" t="shared" si="13" ref="Q2:Q7">INDEX(Kamp05,HLOOKUP($A2,KampTab05,ROWS(KampTab05)-1,FALSE),6+HLOOKUP($A2,KampTab05,ROWS(KampTab05),FALSE))</f>
        <v>28</v>
      </c>
      <c r="R2" s="29">
        <f aca="true" t="shared" si="14" ref="R2:R7">INDEX(Kamp05,HLOOKUP($A2,KampTab05,ROWS(KampTab05)-1,FALSE),C_I-HLOOKUP($A2,KampTab05,ROWS(KampTab05),FALSE))</f>
        <v>66</v>
      </c>
      <c r="S2" s="29">
        <f aca="true" t="shared" si="15" ref="S2:S7">INDEX(Kamp06,HLOOKUP($A2,KampTab06,ROWS(KampTab06)-1,FALSE),C_V+HLOOKUP($A2,KampTab06,ROWS(KampTab06),FALSE))</f>
        <v>18</v>
      </c>
      <c r="T2" s="29">
        <f aca="true" t="shared" si="16" ref="T2:T7">INDEX(Kamp06,HLOOKUP($A2,KampTab06,ROWS(KampTab06)-1,FALSE),C_I+HLOOKUP($A2,KampTab06,ROWS(KampTab06),FALSE))</f>
        <v>54</v>
      </c>
      <c r="U2" s="29">
        <f aca="true" t="shared" si="17" ref="U2:U7">INDEX(Kamp06,HLOOKUP($A2,KampTab06,ROWS(KampTab06)-1,FALSE),C_I-HLOOKUP($A2,KampTab06,ROWS(KampTab06),FALSE))</f>
        <v>39</v>
      </c>
      <c r="V2" s="29">
        <f aca="true" t="shared" si="18" ref="V2:V7">INDEX(Kamp07,HLOOKUP($A2,KampTab07,ROWS(KampTab07)-1,FALSE),C_V+HLOOKUP($A2,KampTab07,ROWS(KampTab07),FALSE))</f>
        <v>8</v>
      </c>
      <c r="W2" s="29">
        <f aca="true" t="shared" si="19" ref="W2:W7">INDEX(Kamp07,HLOOKUP($A2,KampTab07,ROWS(KampTab07)-1,FALSE),C_I+HLOOKUP($A2,KampTab07,ROWS(KampTab07),FALSE))</f>
        <v>26</v>
      </c>
      <c r="X2" s="29">
        <f aca="true" t="shared" si="20" ref="X2:X7">INDEX(Kamp07,HLOOKUP($A2,KampTab07,ROWS(KampTab07)-1,FALSE),C_I-HLOOKUP($A2,KampTab07,ROWS(KampTab07),FALSE))</f>
        <v>58</v>
      </c>
      <c r="Y2" s="29">
        <f aca="true" t="shared" si="21" ref="Y2:Y7">INDEX(Kamp08,HLOOKUP($A2,KampTab08,ROWS(KampTab08)-1,FALSE),C_V+HLOOKUP($A2,KampTab08,ROWS(KampTab08),FALSE))</f>
        <v>19</v>
      </c>
      <c r="Z2" s="29">
        <f aca="true" t="shared" si="22" ref="Z2:Z7">INDEX(Kamp08,HLOOKUP($A2,KampTab08,ROWS(KampTab08)-1,FALSE),C_I+HLOOKUP($A2,KampTab08,ROWS(KampTab08),FALSE))</f>
        <v>52</v>
      </c>
      <c r="AA2" s="29">
        <f aca="true" t="shared" si="23" ref="AA2:AA7">INDEX(Kamp08,HLOOKUP($A2,KampTab08,ROWS(KampTab08)-1,FALSE),C_I-HLOOKUP($A2,KampTab08,ROWS(KampTab08),FALSE))</f>
        <v>33</v>
      </c>
      <c r="AB2" s="29">
        <f aca="true" t="shared" si="24" ref="AB2:AB7">INDEX(Kamp09,HLOOKUP($A2,KampTab09,ROWS(KampTab09)-1,FALSE),C_V+HLOOKUP($A2,KampTab09,ROWS(KampTab09),FALSE))</f>
        <v>25</v>
      </c>
      <c r="AC2" s="29">
        <f aca="true" t="shared" si="25" ref="AC2:AC7">INDEX(Kamp09,HLOOKUP($A2,KampTab09,ROWS(KampTab09)-1,FALSE),C_I+HLOOKUP($A2,KampTab09,ROWS(KampTab09),FALSE))</f>
        <v>85</v>
      </c>
      <c r="AD2" s="29">
        <f aca="true" t="shared" si="26" ref="AD2:AD7">INDEX(Kamp09,HLOOKUP($A2,KampTab09,ROWS(KampTab09)-1,FALSE),C_I-HLOOKUP($A2,KampTab09,ROWS(KampTab09),FALSE))</f>
        <v>27</v>
      </c>
      <c r="AE2" s="29">
        <f aca="true" t="shared" si="27" ref="AE2:AE7">INDEX(Kamp10,HLOOKUP($A2,KampTab10,ROWS(KampTab10)-1,FALSE),C_V+HLOOKUP($A2,KampTab10,ROWS(KampTab10),FALSE))</f>
        <v>21</v>
      </c>
      <c r="AF2" s="29">
        <f aca="true" t="shared" si="28" ref="AF2:AF7">INDEX(Kamp10,HLOOKUP($A2,KampTab10,ROWS(KampTab10)-1,FALSE),C_I+HLOOKUP($A2,KampTab10,ROWS(KampTab10),FALSE))</f>
        <v>43</v>
      </c>
      <c r="AG2" s="29">
        <f aca="true" t="shared" si="29" ref="AG2:AG7">INDEX(Kamp10,HLOOKUP($A2,KampTab10,ROWS(KampTab10)-1,FALSE),C_I-HLOOKUP($A2,KampTab10,ROWS(KampTab10),FALSE))</f>
        <v>13</v>
      </c>
    </row>
    <row r="3" spans="1:33" ht="12.75">
      <c r="A3" s="98">
        <v>2</v>
      </c>
      <c r="B3" s="65" t="s">
        <v>59</v>
      </c>
      <c r="C3" s="65" t="s">
        <v>60</v>
      </c>
      <c r="D3" s="29">
        <f t="shared" si="0"/>
        <v>22</v>
      </c>
      <c r="E3" s="29">
        <f t="shared" si="1"/>
        <v>84</v>
      </c>
      <c r="F3" s="29">
        <f t="shared" si="2"/>
        <v>52</v>
      </c>
      <c r="G3" s="29">
        <f t="shared" si="3"/>
        <v>12</v>
      </c>
      <c r="H3" s="29">
        <f t="shared" si="4"/>
        <v>51</v>
      </c>
      <c r="I3" s="29">
        <f t="shared" si="5"/>
        <v>65</v>
      </c>
      <c r="J3" s="29">
        <f t="shared" si="6"/>
        <v>3</v>
      </c>
      <c r="K3" s="29">
        <f t="shared" si="7"/>
        <v>30</v>
      </c>
      <c r="L3" s="29">
        <f t="shared" si="8"/>
        <v>93</v>
      </c>
      <c r="M3" s="29">
        <f t="shared" si="9"/>
        <v>22</v>
      </c>
      <c r="N3" s="29">
        <f t="shared" si="10"/>
        <v>57</v>
      </c>
      <c r="O3" s="29">
        <f t="shared" si="11"/>
        <v>22</v>
      </c>
      <c r="P3" s="29">
        <f t="shared" si="12"/>
        <v>4</v>
      </c>
      <c r="Q3" s="29">
        <f t="shared" si="13"/>
        <v>19</v>
      </c>
      <c r="R3" s="29">
        <f t="shared" si="14"/>
        <v>75</v>
      </c>
      <c r="S3" s="29">
        <f t="shared" si="15"/>
        <v>11</v>
      </c>
      <c r="T3" s="29">
        <f t="shared" si="16"/>
        <v>47</v>
      </c>
      <c r="U3" s="29">
        <f t="shared" si="17"/>
        <v>68</v>
      </c>
      <c r="V3" s="29">
        <f t="shared" si="18"/>
        <v>22</v>
      </c>
      <c r="W3" s="29">
        <f t="shared" si="19"/>
        <v>58</v>
      </c>
      <c r="X3" s="29">
        <f t="shared" si="20"/>
        <v>26</v>
      </c>
      <c r="Y3" s="29">
        <f t="shared" si="21"/>
        <v>15</v>
      </c>
      <c r="Z3" s="29">
        <f t="shared" si="22"/>
        <v>48</v>
      </c>
      <c r="AA3" s="29">
        <f t="shared" si="23"/>
        <v>46</v>
      </c>
      <c r="AB3" s="29">
        <f t="shared" si="24"/>
        <v>25</v>
      </c>
      <c r="AC3" s="29">
        <f t="shared" si="25"/>
        <v>96</v>
      </c>
      <c r="AD3" s="29">
        <f t="shared" si="26"/>
        <v>21</v>
      </c>
      <c r="AE3" s="29">
        <f t="shared" si="27"/>
        <v>15</v>
      </c>
      <c r="AF3" s="29">
        <f t="shared" si="28"/>
        <v>43</v>
      </c>
      <c r="AG3" s="29">
        <f t="shared" si="29"/>
        <v>45</v>
      </c>
    </row>
    <row r="4" spans="1:33" ht="12.75">
      <c r="A4" s="98">
        <v>3</v>
      </c>
      <c r="B4" s="65" t="s">
        <v>61</v>
      </c>
      <c r="C4" s="65" t="s">
        <v>62</v>
      </c>
      <c r="D4" s="29">
        <f t="shared" si="0"/>
        <v>17</v>
      </c>
      <c r="E4" s="29">
        <f t="shared" si="1"/>
        <v>61</v>
      </c>
      <c r="F4" s="29">
        <f t="shared" si="2"/>
        <v>52</v>
      </c>
      <c r="G4" s="29">
        <f t="shared" si="3"/>
        <v>13</v>
      </c>
      <c r="H4" s="29">
        <f t="shared" si="4"/>
        <v>57</v>
      </c>
      <c r="I4" s="29">
        <f t="shared" si="5"/>
        <v>68</v>
      </c>
      <c r="J4" s="29">
        <f t="shared" si="6"/>
        <v>9</v>
      </c>
      <c r="K4" s="29">
        <f t="shared" si="7"/>
        <v>29</v>
      </c>
      <c r="L4" s="29">
        <f t="shared" si="8"/>
        <v>59</v>
      </c>
      <c r="M4" s="29">
        <f t="shared" si="9"/>
        <v>8</v>
      </c>
      <c r="N4" s="29">
        <f t="shared" si="10"/>
        <v>22</v>
      </c>
      <c r="O4" s="29">
        <f t="shared" si="11"/>
        <v>57</v>
      </c>
      <c r="P4" s="29">
        <f t="shared" si="12"/>
        <v>14</v>
      </c>
      <c r="Q4" s="29">
        <f t="shared" si="13"/>
        <v>37</v>
      </c>
      <c r="R4" s="29">
        <f t="shared" si="14"/>
        <v>40</v>
      </c>
      <c r="S4" s="29">
        <f t="shared" si="15"/>
        <v>15</v>
      </c>
      <c r="T4" s="29">
        <f t="shared" si="16"/>
        <v>63</v>
      </c>
      <c r="U4" s="29">
        <f t="shared" si="17"/>
        <v>65</v>
      </c>
      <c r="V4" s="29">
        <f t="shared" si="18"/>
        <v>10</v>
      </c>
      <c r="W4" s="29">
        <f t="shared" si="19"/>
        <v>46</v>
      </c>
      <c r="X4" s="29">
        <f t="shared" si="20"/>
        <v>68</v>
      </c>
      <c r="Y4" s="29">
        <f t="shared" si="21"/>
        <v>11</v>
      </c>
      <c r="Z4" s="29">
        <f t="shared" si="22"/>
        <v>33</v>
      </c>
      <c r="AA4" s="29">
        <f t="shared" si="23"/>
        <v>52</v>
      </c>
      <c r="AB4" s="29">
        <f t="shared" si="24"/>
        <v>1</v>
      </c>
      <c r="AC4" s="29">
        <f t="shared" si="25"/>
        <v>21</v>
      </c>
      <c r="AD4" s="29">
        <f t="shared" si="26"/>
        <v>96</v>
      </c>
      <c r="AE4" s="29">
        <f t="shared" si="27"/>
        <v>10</v>
      </c>
      <c r="AF4" s="29">
        <f t="shared" si="28"/>
        <v>20</v>
      </c>
      <c r="AG4" s="29">
        <f t="shared" si="29"/>
        <v>44</v>
      </c>
    </row>
    <row r="5" spans="1:33" ht="12.75">
      <c r="A5" s="98">
        <v>4</v>
      </c>
      <c r="B5" s="65" t="s">
        <v>63</v>
      </c>
      <c r="C5" s="65" t="s">
        <v>64</v>
      </c>
      <c r="D5" s="29">
        <f t="shared" si="0"/>
        <v>13</v>
      </c>
      <c r="E5" s="29">
        <f t="shared" si="1"/>
        <v>52</v>
      </c>
      <c r="F5" s="29">
        <f t="shared" si="2"/>
        <v>61</v>
      </c>
      <c r="G5" s="29">
        <f t="shared" si="3"/>
        <v>16</v>
      </c>
      <c r="H5" s="29">
        <f t="shared" si="4"/>
        <v>58</v>
      </c>
      <c r="I5" s="29">
        <f t="shared" si="5"/>
        <v>50</v>
      </c>
      <c r="J5" s="29">
        <f t="shared" si="6"/>
        <v>15</v>
      </c>
      <c r="K5" s="29">
        <f t="shared" si="7"/>
        <v>31</v>
      </c>
      <c r="L5" s="29">
        <f t="shared" si="8"/>
        <v>31</v>
      </c>
      <c r="M5" s="29">
        <f t="shared" si="9"/>
        <v>19</v>
      </c>
      <c r="N5" s="29">
        <f t="shared" si="10"/>
        <v>69</v>
      </c>
      <c r="O5" s="29">
        <f t="shared" si="11"/>
        <v>48</v>
      </c>
      <c r="P5" s="29">
        <f t="shared" si="12"/>
        <v>25</v>
      </c>
      <c r="Q5" s="29">
        <f t="shared" si="13"/>
        <v>75</v>
      </c>
      <c r="R5" s="29">
        <f t="shared" si="14"/>
        <v>19</v>
      </c>
      <c r="S5" s="29">
        <f t="shared" si="15"/>
        <v>15</v>
      </c>
      <c r="T5" s="29">
        <f t="shared" si="16"/>
        <v>65</v>
      </c>
      <c r="U5" s="29">
        <f t="shared" si="17"/>
        <v>63</v>
      </c>
      <c r="V5" s="29">
        <f t="shared" si="18"/>
        <v>25</v>
      </c>
      <c r="W5" s="29">
        <f t="shared" si="19"/>
        <v>62</v>
      </c>
      <c r="X5" s="29">
        <f t="shared" si="20"/>
        <v>14</v>
      </c>
      <c r="Y5" s="29">
        <f t="shared" si="21"/>
        <v>18</v>
      </c>
      <c r="Z5" s="29">
        <f t="shared" si="22"/>
        <v>48</v>
      </c>
      <c r="AA5" s="29">
        <f t="shared" si="23"/>
        <v>32</v>
      </c>
      <c r="AB5" s="29">
        <f t="shared" si="24"/>
        <v>4</v>
      </c>
      <c r="AC5" s="29">
        <f t="shared" si="25"/>
        <v>27</v>
      </c>
      <c r="AD5" s="29">
        <f t="shared" si="26"/>
        <v>85</v>
      </c>
      <c r="AE5" s="29">
        <f t="shared" si="27"/>
        <v>15</v>
      </c>
      <c r="AF5" s="29">
        <f t="shared" si="28"/>
        <v>45</v>
      </c>
      <c r="AG5" s="29">
        <f t="shared" si="29"/>
        <v>43</v>
      </c>
    </row>
    <row r="6" spans="1:33" ht="12.75">
      <c r="A6" s="98">
        <v>5</v>
      </c>
      <c r="B6" s="65" t="s">
        <v>65</v>
      </c>
      <c r="C6" s="65" t="s">
        <v>66</v>
      </c>
      <c r="D6" s="29">
        <f t="shared" si="0"/>
        <v>8</v>
      </c>
      <c r="E6" s="29">
        <f t="shared" si="1"/>
        <v>52</v>
      </c>
      <c r="F6" s="29">
        <f t="shared" si="2"/>
        <v>84</v>
      </c>
      <c r="G6" s="29">
        <f t="shared" si="3"/>
        <v>17</v>
      </c>
      <c r="H6" s="29">
        <f t="shared" si="4"/>
        <v>68</v>
      </c>
      <c r="I6" s="29">
        <f t="shared" si="5"/>
        <v>57</v>
      </c>
      <c r="J6" s="29">
        <f t="shared" si="6"/>
        <v>15</v>
      </c>
      <c r="K6" s="29">
        <f t="shared" si="7"/>
        <v>31</v>
      </c>
      <c r="L6" s="29">
        <f t="shared" si="8"/>
        <v>31</v>
      </c>
      <c r="M6" s="29">
        <f t="shared" si="9"/>
        <v>6</v>
      </c>
      <c r="N6" s="29">
        <f t="shared" si="10"/>
        <v>32</v>
      </c>
      <c r="O6" s="29">
        <f t="shared" si="11"/>
        <v>76</v>
      </c>
      <c r="P6" s="29">
        <f t="shared" si="12"/>
        <v>23</v>
      </c>
      <c r="Q6" s="29">
        <f t="shared" si="13"/>
        <v>66</v>
      </c>
      <c r="R6" s="29">
        <f t="shared" si="14"/>
        <v>28</v>
      </c>
      <c r="S6" s="29">
        <f t="shared" si="15"/>
        <v>19</v>
      </c>
      <c r="T6" s="29">
        <f t="shared" si="16"/>
        <v>68</v>
      </c>
      <c r="U6" s="29">
        <f t="shared" si="17"/>
        <v>47</v>
      </c>
      <c r="V6" s="29">
        <f t="shared" si="18"/>
        <v>20</v>
      </c>
      <c r="W6" s="29">
        <f t="shared" si="19"/>
        <v>68</v>
      </c>
      <c r="X6" s="29">
        <f t="shared" si="20"/>
        <v>46</v>
      </c>
      <c r="Y6" s="29">
        <f t="shared" si="21"/>
        <v>12</v>
      </c>
      <c r="Z6" s="29">
        <f t="shared" si="22"/>
        <v>32</v>
      </c>
      <c r="AA6" s="29">
        <f t="shared" si="23"/>
        <v>48</v>
      </c>
      <c r="AB6" s="29">
        <f t="shared" si="24"/>
        <v>16</v>
      </c>
      <c r="AC6" s="29">
        <f t="shared" si="25"/>
        <v>37</v>
      </c>
      <c r="AD6" s="29">
        <f t="shared" si="26"/>
        <v>34</v>
      </c>
      <c r="AE6" s="29">
        <f t="shared" si="27"/>
        <v>9</v>
      </c>
      <c r="AF6" s="29">
        <f t="shared" si="28"/>
        <v>13</v>
      </c>
      <c r="AG6" s="29">
        <f t="shared" si="29"/>
        <v>43</v>
      </c>
    </row>
    <row r="7" spans="1:33" ht="12.75">
      <c r="A7" s="98">
        <v>6</v>
      </c>
      <c r="B7" s="65" t="s">
        <v>67</v>
      </c>
      <c r="C7" s="65" t="s">
        <v>68</v>
      </c>
      <c r="D7" s="29">
        <f t="shared" si="0"/>
        <v>14</v>
      </c>
      <c r="E7" s="29">
        <f t="shared" si="1"/>
        <v>39</v>
      </c>
      <c r="F7" s="29">
        <f t="shared" si="2"/>
        <v>46</v>
      </c>
      <c r="G7" s="29">
        <f t="shared" si="3"/>
        <v>14</v>
      </c>
      <c r="H7" s="29">
        <f t="shared" si="4"/>
        <v>50</v>
      </c>
      <c r="I7" s="29">
        <f t="shared" si="5"/>
        <v>58</v>
      </c>
      <c r="J7" s="29">
        <f t="shared" si="6"/>
        <v>25</v>
      </c>
      <c r="K7" s="29">
        <f t="shared" si="7"/>
        <v>93</v>
      </c>
      <c r="L7" s="29">
        <f t="shared" si="8"/>
        <v>30</v>
      </c>
      <c r="M7" s="29">
        <f t="shared" si="9"/>
        <v>24</v>
      </c>
      <c r="N7" s="29">
        <f t="shared" si="10"/>
        <v>76</v>
      </c>
      <c r="O7" s="29">
        <f t="shared" si="11"/>
        <v>32</v>
      </c>
      <c r="P7" s="29">
        <f t="shared" si="12"/>
        <v>16</v>
      </c>
      <c r="Q7" s="29">
        <f t="shared" si="13"/>
        <v>40</v>
      </c>
      <c r="R7" s="29">
        <f t="shared" si="14"/>
        <v>37</v>
      </c>
      <c r="S7" s="29">
        <f t="shared" si="15"/>
        <v>12</v>
      </c>
      <c r="T7" s="29">
        <f t="shared" si="16"/>
        <v>39</v>
      </c>
      <c r="U7" s="29">
        <f t="shared" si="17"/>
        <v>54</v>
      </c>
      <c r="V7" s="29">
        <f t="shared" si="18"/>
        <v>5</v>
      </c>
      <c r="W7" s="29">
        <f t="shared" si="19"/>
        <v>14</v>
      </c>
      <c r="X7" s="29">
        <f t="shared" si="20"/>
        <v>62</v>
      </c>
      <c r="Y7" s="29">
        <f t="shared" si="21"/>
        <v>15</v>
      </c>
      <c r="Z7" s="29">
        <f t="shared" si="22"/>
        <v>46</v>
      </c>
      <c r="AA7" s="29">
        <f t="shared" si="23"/>
        <v>48</v>
      </c>
      <c r="AB7" s="29">
        <f t="shared" si="24"/>
        <v>14</v>
      </c>
      <c r="AC7" s="29">
        <f t="shared" si="25"/>
        <v>34</v>
      </c>
      <c r="AD7" s="29">
        <f t="shared" si="26"/>
        <v>37</v>
      </c>
      <c r="AE7" s="29">
        <f t="shared" si="27"/>
        <v>20</v>
      </c>
      <c r="AF7" s="29">
        <f t="shared" si="28"/>
        <v>44</v>
      </c>
      <c r="AG7" s="29">
        <f t="shared" si="29"/>
        <v>20</v>
      </c>
    </row>
    <row r="10" spans="4:29" ht="12.75">
      <c r="D10" s="199" t="s">
        <v>19</v>
      </c>
      <c r="E10" s="199"/>
      <c r="F10" s="199" t="s">
        <v>20</v>
      </c>
      <c r="G10" s="199"/>
      <c r="H10" s="199" t="s">
        <v>21</v>
      </c>
      <c r="I10" s="199"/>
      <c r="S10" s="157">
        <v>8</v>
      </c>
      <c r="T10" s="157">
        <v>10</v>
      </c>
      <c r="U10" s="157">
        <v>12</v>
      </c>
      <c r="V10" s="157">
        <v>14</v>
      </c>
      <c r="W10" s="157">
        <v>16</v>
      </c>
      <c r="X10" s="157">
        <v>20</v>
      </c>
      <c r="Y10" s="157">
        <v>24</v>
      </c>
      <c r="Z10" s="157">
        <v>28</v>
      </c>
      <c r="AA10" s="157">
        <v>32</v>
      </c>
      <c r="AB10" s="157">
        <v>36</v>
      </c>
      <c r="AC10" s="157">
        <v>40</v>
      </c>
    </row>
    <row r="11" spans="3:29" ht="12.75">
      <c r="C11" s="98" t="s">
        <v>34</v>
      </c>
      <c r="D11" s="100">
        <v>5</v>
      </c>
      <c r="E11" s="100">
        <v>2</v>
      </c>
      <c r="F11" s="100">
        <v>3</v>
      </c>
      <c r="G11" s="100">
        <v>4</v>
      </c>
      <c r="H11" s="100">
        <v>1</v>
      </c>
      <c r="I11" s="100">
        <v>6</v>
      </c>
      <c r="S11" s="158">
        <v>2</v>
      </c>
      <c r="T11" s="158">
        <v>2</v>
      </c>
      <c r="U11" s="158">
        <v>2</v>
      </c>
      <c r="V11" s="158">
        <v>3</v>
      </c>
      <c r="W11" s="158">
        <v>3</v>
      </c>
      <c r="X11" s="158">
        <v>3</v>
      </c>
      <c r="Y11" s="158">
        <v>4</v>
      </c>
      <c r="Z11" s="158">
        <v>4</v>
      </c>
      <c r="AA11" s="158">
        <v>4</v>
      </c>
      <c r="AB11" s="158">
        <v>4</v>
      </c>
      <c r="AC11" s="158">
        <v>4</v>
      </c>
    </row>
    <row r="12" spans="3:29" ht="12.75">
      <c r="C12" s="98" t="s">
        <v>35</v>
      </c>
      <c r="D12" s="100">
        <v>3</v>
      </c>
      <c r="E12" s="100">
        <v>5</v>
      </c>
      <c r="F12" s="100">
        <v>2</v>
      </c>
      <c r="G12" s="100">
        <v>1</v>
      </c>
      <c r="H12" s="100">
        <v>4</v>
      </c>
      <c r="I12" s="100">
        <v>6</v>
      </c>
      <c r="S12" s="158">
        <v>6</v>
      </c>
      <c r="T12" s="158">
        <v>6</v>
      </c>
      <c r="U12" s="158">
        <v>7</v>
      </c>
      <c r="V12" s="158">
        <v>8</v>
      </c>
      <c r="W12" s="158">
        <v>8</v>
      </c>
      <c r="X12" s="158">
        <v>9</v>
      </c>
      <c r="Y12" s="158">
        <v>10</v>
      </c>
      <c r="Z12" s="158">
        <v>11</v>
      </c>
      <c r="AA12" s="158">
        <v>11</v>
      </c>
      <c r="AB12" s="158">
        <v>12</v>
      </c>
      <c r="AC12" s="158">
        <v>12</v>
      </c>
    </row>
    <row r="13" spans="3:29" ht="12.75">
      <c r="C13" s="98" t="s">
        <v>36</v>
      </c>
      <c r="D13" s="100">
        <v>5</v>
      </c>
      <c r="E13" s="100">
        <v>4</v>
      </c>
      <c r="F13" s="100">
        <v>3</v>
      </c>
      <c r="G13" s="100">
        <v>1</v>
      </c>
      <c r="H13" s="100">
        <v>6</v>
      </c>
      <c r="I13" s="100">
        <v>2</v>
      </c>
      <c r="S13" s="158">
        <v>9</v>
      </c>
      <c r="T13" s="158">
        <v>10</v>
      </c>
      <c r="U13" s="158">
        <v>10</v>
      </c>
      <c r="V13" s="158">
        <v>11</v>
      </c>
      <c r="W13" s="158">
        <v>12</v>
      </c>
      <c r="X13" s="158">
        <v>13</v>
      </c>
      <c r="Y13" s="158">
        <v>15</v>
      </c>
      <c r="Z13" s="158">
        <v>16</v>
      </c>
      <c r="AA13" s="158">
        <v>17</v>
      </c>
      <c r="AB13" s="158">
        <v>18</v>
      </c>
      <c r="AC13" s="158">
        <v>19</v>
      </c>
    </row>
    <row r="14" spans="3:29" ht="12.75">
      <c r="C14" s="98" t="s">
        <v>37</v>
      </c>
      <c r="D14" s="100">
        <v>4</v>
      </c>
      <c r="E14" s="100">
        <v>1</v>
      </c>
      <c r="F14" s="100">
        <v>3</v>
      </c>
      <c r="G14" s="100">
        <v>2</v>
      </c>
      <c r="H14" s="100">
        <v>6</v>
      </c>
      <c r="I14" s="100">
        <v>5</v>
      </c>
      <c r="K14" s="100"/>
      <c r="L14" s="100"/>
      <c r="M14" s="100"/>
      <c r="N14" s="100"/>
      <c r="O14" s="100"/>
      <c r="P14" s="100"/>
      <c r="S14" s="158">
        <v>12</v>
      </c>
      <c r="T14" s="158">
        <v>13</v>
      </c>
      <c r="U14" s="158">
        <v>13</v>
      </c>
      <c r="V14" s="158">
        <v>15</v>
      </c>
      <c r="W14" s="158">
        <v>16</v>
      </c>
      <c r="X14" s="158">
        <v>17</v>
      </c>
      <c r="Y14" s="158">
        <v>20</v>
      </c>
      <c r="Z14" s="158">
        <v>21</v>
      </c>
      <c r="AA14" s="158">
        <v>23</v>
      </c>
      <c r="AB14" s="158">
        <v>24</v>
      </c>
      <c r="AC14" s="158">
        <v>26</v>
      </c>
    </row>
    <row r="15" spans="3:29" ht="12.75">
      <c r="C15" s="98" t="s">
        <v>38</v>
      </c>
      <c r="D15" s="100">
        <v>1</v>
      </c>
      <c r="E15" s="100">
        <v>5</v>
      </c>
      <c r="F15" s="100">
        <v>2</v>
      </c>
      <c r="G15" s="100">
        <v>4</v>
      </c>
      <c r="H15" s="100">
        <v>3</v>
      </c>
      <c r="I15" s="100">
        <v>6</v>
      </c>
      <c r="P15" s="98"/>
      <c r="Q15" s="98"/>
      <c r="S15" s="158">
        <v>15</v>
      </c>
      <c r="T15" s="158">
        <v>16</v>
      </c>
      <c r="U15" s="158">
        <v>17</v>
      </c>
      <c r="V15" s="158">
        <v>19</v>
      </c>
      <c r="W15" s="158">
        <v>20</v>
      </c>
      <c r="X15" s="158">
        <v>22</v>
      </c>
      <c r="Y15" s="158">
        <v>25</v>
      </c>
      <c r="Z15" s="158">
        <v>26</v>
      </c>
      <c r="AA15" s="158">
        <v>29</v>
      </c>
      <c r="AB15" s="158">
        <v>30</v>
      </c>
      <c r="AC15" s="158">
        <v>33</v>
      </c>
    </row>
    <row r="16" spans="3:29" ht="12.75">
      <c r="C16" s="98" t="s">
        <v>39</v>
      </c>
      <c r="D16" s="100">
        <v>2</v>
      </c>
      <c r="E16" s="100">
        <v>5</v>
      </c>
      <c r="F16" s="100">
        <v>4</v>
      </c>
      <c r="G16" s="100">
        <v>3</v>
      </c>
      <c r="H16" s="100">
        <v>6</v>
      </c>
      <c r="I16" s="100">
        <v>1</v>
      </c>
      <c r="S16" s="158">
        <v>18</v>
      </c>
      <c r="T16" s="158">
        <v>19</v>
      </c>
      <c r="U16" s="158">
        <v>21</v>
      </c>
      <c r="V16" s="158">
        <v>23</v>
      </c>
      <c r="W16" s="158">
        <v>24</v>
      </c>
      <c r="X16" s="158">
        <v>27</v>
      </c>
      <c r="Y16" s="158">
        <v>30</v>
      </c>
      <c r="Z16" s="158">
        <v>32</v>
      </c>
      <c r="AA16" s="158">
        <v>35</v>
      </c>
      <c r="AB16" s="158">
        <v>37</v>
      </c>
      <c r="AC16" s="158">
        <v>40</v>
      </c>
    </row>
    <row r="17" spans="3:29" ht="12.75">
      <c r="C17" s="98" t="s">
        <v>40</v>
      </c>
      <c r="D17" s="100">
        <v>5</v>
      </c>
      <c r="E17" s="100">
        <v>3</v>
      </c>
      <c r="F17" s="100">
        <v>1</v>
      </c>
      <c r="G17" s="100">
        <v>2</v>
      </c>
      <c r="H17" s="100">
        <v>6</v>
      </c>
      <c r="I17" s="100">
        <v>4</v>
      </c>
      <c r="S17" s="158">
        <v>21</v>
      </c>
      <c r="T17" s="158">
        <v>22</v>
      </c>
      <c r="U17" s="158">
        <v>25</v>
      </c>
      <c r="V17" s="158">
        <v>27</v>
      </c>
      <c r="W17" s="158">
        <v>28</v>
      </c>
      <c r="X17" s="158">
        <v>32</v>
      </c>
      <c r="Y17" s="158">
        <v>35</v>
      </c>
      <c r="Z17" s="158">
        <v>38</v>
      </c>
      <c r="AA17" s="158">
        <v>41</v>
      </c>
      <c r="AB17" s="158">
        <v>44</v>
      </c>
      <c r="AC17" s="158">
        <v>47</v>
      </c>
    </row>
    <row r="18" spans="3:29" ht="12.75">
      <c r="C18" s="98" t="s">
        <v>41</v>
      </c>
      <c r="D18" s="100">
        <v>4</v>
      </c>
      <c r="E18" s="100">
        <v>5</v>
      </c>
      <c r="F18" s="100">
        <v>1</v>
      </c>
      <c r="G18" s="100">
        <v>3</v>
      </c>
      <c r="H18" s="100">
        <v>2</v>
      </c>
      <c r="I18" s="100">
        <v>6</v>
      </c>
      <c r="S18" s="158">
        <v>24</v>
      </c>
      <c r="T18" s="158">
        <v>25</v>
      </c>
      <c r="U18" s="158">
        <v>29</v>
      </c>
      <c r="V18" s="158">
        <v>31</v>
      </c>
      <c r="W18" s="158">
        <v>32</v>
      </c>
      <c r="X18" s="158">
        <v>37</v>
      </c>
      <c r="Y18" s="158">
        <v>40</v>
      </c>
      <c r="Z18" s="158">
        <v>44</v>
      </c>
      <c r="AA18" s="158">
        <v>47</v>
      </c>
      <c r="AB18" s="158">
        <v>51</v>
      </c>
      <c r="AC18" s="158">
        <v>54</v>
      </c>
    </row>
    <row r="19" spans="3:29" ht="12.75">
      <c r="C19" s="98" t="s">
        <v>42</v>
      </c>
      <c r="D19" s="100">
        <v>1</v>
      </c>
      <c r="E19" s="100">
        <v>4</v>
      </c>
      <c r="F19" s="100">
        <v>2</v>
      </c>
      <c r="G19" s="100">
        <v>3</v>
      </c>
      <c r="H19" s="100">
        <v>5</v>
      </c>
      <c r="I19" s="100">
        <v>6</v>
      </c>
      <c r="S19" s="158">
        <v>27</v>
      </c>
      <c r="T19" s="158">
        <v>28</v>
      </c>
      <c r="U19" s="158">
        <v>33</v>
      </c>
      <c r="V19" s="158">
        <v>35</v>
      </c>
      <c r="W19" s="158">
        <v>37</v>
      </c>
      <c r="X19" s="158">
        <v>42</v>
      </c>
      <c r="Y19" s="158">
        <v>46</v>
      </c>
      <c r="Z19" s="158">
        <v>50</v>
      </c>
      <c r="AA19" s="158">
        <v>53</v>
      </c>
      <c r="AB19" s="158">
        <v>58</v>
      </c>
      <c r="AC19" s="158">
        <v>61</v>
      </c>
    </row>
    <row r="20" spans="3:29" ht="12.75">
      <c r="C20" s="98" t="s">
        <v>43</v>
      </c>
      <c r="D20" s="100">
        <v>5</v>
      </c>
      <c r="E20" s="100">
        <v>1</v>
      </c>
      <c r="F20" s="100">
        <v>4</v>
      </c>
      <c r="G20" s="100">
        <v>2</v>
      </c>
      <c r="H20" s="100">
        <v>6</v>
      </c>
      <c r="I20" s="100">
        <v>3</v>
      </c>
      <c r="S20" s="158">
        <v>30</v>
      </c>
      <c r="T20" s="158">
        <v>32</v>
      </c>
      <c r="U20" s="158">
        <v>37</v>
      </c>
      <c r="V20" s="158">
        <v>39</v>
      </c>
      <c r="W20" s="158">
        <v>42</v>
      </c>
      <c r="X20" s="158">
        <v>48</v>
      </c>
      <c r="Y20" s="158">
        <v>52</v>
      </c>
      <c r="Z20" s="158">
        <v>56</v>
      </c>
      <c r="AA20" s="158">
        <v>59</v>
      </c>
      <c r="AB20" s="158">
        <v>65</v>
      </c>
      <c r="AC20" s="158">
        <v>69</v>
      </c>
    </row>
    <row r="21" spans="3:29" ht="12.75">
      <c r="C21" s="98" t="s">
        <v>29</v>
      </c>
      <c r="D21" s="100">
        <v>2</v>
      </c>
      <c r="E21" s="100">
        <v>2</v>
      </c>
      <c r="F21" s="100">
        <v>3</v>
      </c>
      <c r="G21" s="100">
        <v>3</v>
      </c>
      <c r="H21" s="100">
        <v>4</v>
      </c>
      <c r="I21" s="100">
        <v>4</v>
      </c>
      <c r="S21" s="158">
        <v>34</v>
      </c>
      <c r="T21" s="158">
        <v>37</v>
      </c>
      <c r="U21" s="158">
        <v>41</v>
      </c>
      <c r="V21" s="158">
        <v>44</v>
      </c>
      <c r="W21" s="158">
        <v>47</v>
      </c>
      <c r="X21" s="158">
        <v>54</v>
      </c>
      <c r="Y21" s="158">
        <v>58</v>
      </c>
      <c r="Z21" s="158">
        <v>62</v>
      </c>
      <c r="AA21" s="158">
        <v>66</v>
      </c>
      <c r="AB21" s="158">
        <v>72</v>
      </c>
      <c r="AC21" s="158">
        <v>77</v>
      </c>
    </row>
    <row r="22" spans="3:29" ht="12.75">
      <c r="C22" s="98" t="s">
        <v>30</v>
      </c>
      <c r="D22" s="101">
        <v>-1</v>
      </c>
      <c r="E22" s="101">
        <v>1</v>
      </c>
      <c r="F22" s="101">
        <v>-1</v>
      </c>
      <c r="G22" s="101">
        <v>1</v>
      </c>
      <c r="H22" s="101">
        <v>-1</v>
      </c>
      <c r="I22" s="101">
        <v>1</v>
      </c>
      <c r="S22" s="158">
        <v>38</v>
      </c>
      <c r="T22" s="158">
        <v>41</v>
      </c>
      <c r="U22" s="158">
        <v>46</v>
      </c>
      <c r="V22" s="158">
        <v>49</v>
      </c>
      <c r="W22" s="158">
        <v>53</v>
      </c>
      <c r="X22" s="158">
        <v>60</v>
      </c>
      <c r="Y22" s="158">
        <v>65</v>
      </c>
      <c r="Z22" s="158">
        <v>69</v>
      </c>
      <c r="AA22" s="158">
        <v>74</v>
      </c>
      <c r="AB22" s="158">
        <v>80</v>
      </c>
      <c r="AC22" s="158">
        <v>85</v>
      </c>
    </row>
    <row r="23" spans="19:29" ht="12.75">
      <c r="S23" s="158">
        <v>42</v>
      </c>
      <c r="T23" s="158">
        <v>16</v>
      </c>
      <c r="U23" s="158">
        <v>51</v>
      </c>
      <c r="V23" s="158">
        <v>55</v>
      </c>
      <c r="W23" s="158">
        <v>59</v>
      </c>
      <c r="X23" s="158">
        <v>66</v>
      </c>
      <c r="Y23" s="158">
        <v>72</v>
      </c>
      <c r="Z23" s="158">
        <v>77</v>
      </c>
      <c r="AA23" s="158">
        <v>83</v>
      </c>
      <c r="AB23" s="158">
        <v>89</v>
      </c>
      <c r="AC23" s="158">
        <v>94</v>
      </c>
    </row>
    <row r="24" spans="19:29" ht="12.75">
      <c r="S24" s="158">
        <v>46</v>
      </c>
      <c r="T24" s="158">
        <v>51</v>
      </c>
      <c r="U24" s="158">
        <v>56</v>
      </c>
      <c r="V24" s="158">
        <v>61</v>
      </c>
      <c r="W24" s="158">
        <v>65</v>
      </c>
      <c r="X24" s="158">
        <v>73</v>
      </c>
      <c r="Y24" s="158">
        <v>80</v>
      </c>
      <c r="Z24" s="158">
        <v>86</v>
      </c>
      <c r="AA24" s="158">
        <v>92</v>
      </c>
      <c r="AB24" s="158">
        <v>98</v>
      </c>
      <c r="AC24" s="158">
        <v>103</v>
      </c>
    </row>
    <row r="25" spans="19:29" ht="12.75">
      <c r="S25" s="158">
        <v>51</v>
      </c>
      <c r="T25" s="158">
        <v>56</v>
      </c>
      <c r="U25" s="158">
        <v>62</v>
      </c>
      <c r="V25" s="158">
        <v>67</v>
      </c>
      <c r="W25" s="158">
        <v>72</v>
      </c>
      <c r="X25" s="158">
        <v>80</v>
      </c>
      <c r="Y25" s="158">
        <v>88</v>
      </c>
      <c r="Z25" s="158">
        <v>95</v>
      </c>
      <c r="AA25" s="158">
        <v>101</v>
      </c>
      <c r="AB25" s="158">
        <v>107</v>
      </c>
      <c r="AC25" s="158">
        <v>113</v>
      </c>
    </row>
    <row r="27" ht="13.5" thickBot="1">
      <c r="B27" s="98"/>
    </row>
    <row r="28" spans="2:4" ht="13.5" thickBot="1">
      <c r="B28" s="193" t="s">
        <v>47</v>
      </c>
      <c r="C28" s="194"/>
      <c r="D28" s="168">
        <v>20</v>
      </c>
    </row>
    <row r="29" spans="2:21" ht="13.5" thickBot="1">
      <c r="B29" s="193" t="s">
        <v>48</v>
      </c>
      <c r="C29" s="193"/>
      <c r="D29" s="195" t="s">
        <v>56</v>
      </c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7"/>
    </row>
    <row r="30" spans="2:21" ht="13.5" thickBot="1">
      <c r="B30" s="193" t="s">
        <v>49</v>
      </c>
      <c r="C30" s="193"/>
      <c r="D30" s="198" t="s">
        <v>44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7"/>
    </row>
  </sheetData>
  <sheetProtection/>
  <mergeCells count="18">
    <mergeCell ref="D10:E10"/>
    <mergeCell ref="F10:G10"/>
    <mergeCell ref="H10:I10"/>
    <mergeCell ref="Y1:AA1"/>
    <mergeCell ref="M1:O1"/>
    <mergeCell ref="D1:F1"/>
    <mergeCell ref="G1:I1"/>
    <mergeCell ref="J1:L1"/>
    <mergeCell ref="AE1:AG1"/>
    <mergeCell ref="V1:X1"/>
    <mergeCell ref="P1:R1"/>
    <mergeCell ref="S1:U1"/>
    <mergeCell ref="AB1:AD1"/>
    <mergeCell ref="B28:C28"/>
    <mergeCell ref="B29:C29"/>
    <mergeCell ref="D29:U29"/>
    <mergeCell ref="B30:C30"/>
    <mergeCell ref="D30:U3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afi</cp:lastModifiedBy>
  <cp:lastPrinted>2010-01-31T12:33:28Z</cp:lastPrinted>
  <dcterms:created xsi:type="dcterms:W3CDTF">2000-11-03T17:19:40Z</dcterms:created>
  <dcterms:modified xsi:type="dcterms:W3CDTF">2010-02-05T07:41:04Z</dcterms:modified>
  <cp:category/>
  <cp:version/>
  <cp:contentType/>
  <cp:contentStatus/>
</cp:coreProperties>
</file>